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 fullPrecision="0"/>
</workbook>
</file>

<file path=xl/sharedStrings.xml><?xml version="1.0" encoding="utf-8"?>
<sst xmlns="http://schemas.openxmlformats.org/spreadsheetml/2006/main" count="129" uniqueCount="87">
  <si>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</si>
  <si>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</si>
  <si>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</si>
  <si>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</si>
  <si>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</si>
  <si>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</si>
  <si>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</si>
  <si>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</si>
  <si>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</si>
  <si>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</si>
  <si>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</si>
  <si>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</si>
  <si>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</si>
  <si>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</si>
  <si>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</si>
  <si>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</si>
  <si>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</si>
  <si>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</si>
  <si>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</si>
  <si>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</si>
  <si>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</si>
  <si>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</si>
  <si>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</si>
  <si>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</si>
  <si>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</si>
  <si>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</si>
  <si>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</si>
  <si>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</si>
  <si>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</si>
  <si>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</si>
  <si>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</si>
  <si>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</si>
  <si>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</si>
  <si>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</si>
  <si>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</si>
  <si>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</si>
  <si>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</si>
  <si>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</si>
  <si>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</si>
  <si>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</si>
  <si>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</si>
  <si>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</si>
  <si>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</si>
  <si>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</si>
  <si>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</si>
  <si>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</si>
  <si>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</si>
  <si>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</si>
  <si>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</si>
  <si>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</si>
  <si>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</si>
  <si>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</si>
  <si>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</si>
  <si>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</si>
  <si>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</si>
  <si>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</si>
  <si>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</si>
  <si>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</si>
  <si>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</si>
  <si>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</si>
  <si>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</si>
  <si>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</si>
  <si>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</si>
  <si>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</si>
  <si>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</si>
  <si>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</si>
  <si>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</si>
  <si>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</si>
  <si>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</si>
  <si>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</si>
  <si>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</si>
  <si>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</si>
  <si>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</si>
  <si>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</si>
  <si>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</si>
  <si>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</si>
  <si>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</si>
  <si>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</si>
  <si>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</si>
  <si>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t>gwarancje i poręczenia podlegające wyłączeniu z limitów spłaty zobowiązań z art. 243 ufp / 169 sufp</t>
  </si>
  <si>
    <t>Rady Miejskiej w Radomiu</t>
  </si>
  <si>
    <t xml:space="preserve">Rok 2011  </t>
  </si>
  <si>
    <t xml:space="preserve">Rok 2013 </t>
  </si>
  <si>
    <r>
      <t>Zgodny z  art. 243 ufp</t>
    </r>
    <r>
      <rPr>
        <sz val="9"/>
        <rFont val="Arial"/>
        <family val="2"/>
      </rPr>
      <t>/niezgodny z art. 243**</t>
    </r>
  </si>
  <si>
    <r>
      <t>Zgodny z  art. 243 ufp/</t>
    </r>
    <r>
      <rPr>
        <strike/>
        <sz val="9"/>
        <rFont val="Arial"/>
        <family val="2"/>
      </rPr>
      <t>niezgodny z art. 243**</t>
    </r>
  </si>
  <si>
    <t>Sposób sfinansowania spłaty długu (kwota powinna być zgodna z kwotą wykazaną w poz. 7a), z tego:</t>
  </si>
  <si>
    <t>Załącznik Nr A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</si>
</sst>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2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24" borderId="11" xfId="0" applyNumberFormat="1" applyFont="1" applyFill="1" applyBorder="1" applyAlignment="1">
      <alignment wrapText="1"/>
    </xf>
    <xf numFmtId="4" fontId="3" fillId="24" borderId="12" xfId="0" applyNumberFormat="1" applyFont="1" applyFill="1" applyBorder="1" applyAlignment="1">
      <alignment wrapText="1"/>
    </xf>
    <xf numFmtId="4" fontId="3" fillId="24" borderId="13" xfId="0" applyNumberFormat="1" applyFont="1" applyFill="1" applyBorder="1" applyAlignment="1">
      <alignment wrapText="1"/>
    </xf>
    <xf numFmtId="4" fontId="3" fillId="24" borderId="14" xfId="0" applyNumberFormat="1" applyFont="1" applyFill="1" applyBorder="1" applyAlignment="1">
      <alignment wrapText="1"/>
    </xf>
    <xf numFmtId="10" fontId="3" fillId="24" borderId="11" xfId="0" applyNumberFormat="1" applyFont="1" applyFill="1" applyBorder="1" applyAlignment="1">
      <alignment wrapText="1"/>
    </xf>
    <xf numFmtId="10" fontId="3" fillId="24" borderId="13" xfId="0" applyNumberFormat="1" applyFont="1" applyFill="1" applyBorder="1" applyAlignment="1">
      <alignment wrapText="1"/>
    </xf>
    <xf numFmtId="10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3" fillId="24" borderId="13" xfId="0" applyFont="1" applyFill="1" applyBorder="1" applyAlignment="1">
      <alignment horizontal="center" vertical="top" wrapText="1"/>
    </xf>
    <xf numFmtId="164" fontId="3" fillId="24" borderId="13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vertical="top" wrapText="1"/>
    </xf>
    <xf numFmtId="164" fontId="3" fillId="24" borderId="11" xfId="0" applyNumberFormat="1" applyFont="1" applyFill="1" applyBorder="1" applyAlignment="1">
      <alignment wrapText="1"/>
    </xf>
    <xf numFmtId="4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8" fillId="24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24" borderId="14" xfId="0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wrapText="1"/>
    </xf>
    <xf numFmtId="10" fontId="3" fillId="24" borderId="14" xfId="0" applyNumberFormat="1" applyFont="1" applyFill="1" applyBorder="1" applyAlignment="1">
      <alignment wrapText="1"/>
    </xf>
    <xf numFmtId="4" fontId="9" fillId="24" borderId="14" xfId="0" applyNumberFormat="1" applyFont="1" applyFill="1" applyBorder="1" applyAlignment="1">
      <alignment vertical="top" wrapText="1"/>
    </xf>
    <xf numFmtId="4" fontId="9" fillId="24" borderId="11" xfId="0" applyNumberFormat="1" applyFont="1" applyFill="1" applyBorder="1" applyAlignment="1">
      <alignment vertical="top" wrapText="1"/>
    </xf>
    <xf numFmtId="4" fontId="3" fillId="24" borderId="11" xfId="0" applyNumberFormat="1" applyFont="1" applyFill="1" applyBorder="1" applyAlignment="1">
      <alignment vertical="top" wrapText="1"/>
    </xf>
    <xf numFmtId="4" fontId="3" fillId="24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justify" wrapText="1"/>
    </xf>
    <xf numFmtId="0" fontId="27" fillId="0" borderId="0" xfId="0" applyFont="1" applyAlignment="1">
      <alignment/>
    </xf>
    <xf numFmtId="4" fontId="28" fillId="24" borderId="11" xfId="0" applyNumberFormat="1" applyFont="1" applyFill="1" applyBorder="1" applyAlignment="1">
      <alignment wrapText="1"/>
    </xf>
    <xf numFmtId="4" fontId="27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SheetLayoutView="100" zoomScalePageLayoutView="0" workbookViewId="0" topLeftCell="A1">
      <pane xSplit="2" ySplit="5" topLeftCell="D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4" sqref="F54"/>
    </sheetView>
  </sheetViews>
  <sheetFormatPr defaultColWidth="9.140625" defaultRowHeight="12.75"/>
  <cols>
    <col min="1" max="1" width="3.140625" style="36" customWidth="1"/>
    <col min="2" max="2" width="54.28125" style="5" customWidth="1"/>
    <col min="3" max="3" width="2.57421875" style="4" hidden="1" customWidth="1"/>
    <col min="4" max="4" width="14.7109375" style="49" customWidth="1"/>
    <col min="5" max="6" width="14.7109375" style="8" customWidth="1"/>
    <col min="7" max="8" width="14.7109375" style="4" customWidth="1"/>
    <col min="9" max="10" width="14.7109375" style="5" customWidth="1"/>
    <col min="11" max="30" width="14.7109375" style="9" customWidth="1"/>
    <col min="31" max="31" width="14.421875" style="9" customWidth="1"/>
    <col min="32" max="16384" width="9.140625" style="9" customWidth="1"/>
  </cols>
  <sheetData>
    <row r="1" spans="1:31" ht="15">
      <c r="A1" s="29" t="s">
        <v>86</v>
      </c>
      <c r="B1" s="4"/>
      <c r="I1" s="4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29" t="s">
        <v>80</v>
      </c>
      <c r="B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30" t="s">
        <v>60</v>
      </c>
      <c r="B3" s="6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31"/>
      <c r="B4" s="4"/>
      <c r="I4" s="4"/>
      <c r="J4" s="4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1" customFormat="1" ht="18" customHeight="1">
      <c r="A5" s="32"/>
      <c r="B5" s="10" t="s">
        <v>0</v>
      </c>
      <c r="C5" s="37" t="s">
        <v>81</v>
      </c>
      <c r="D5" s="23" t="s">
        <v>1</v>
      </c>
      <c r="E5" s="25" t="s">
        <v>82</v>
      </c>
      <c r="F5" s="25" t="s">
        <v>2</v>
      </c>
      <c r="G5" s="26" t="s">
        <v>35</v>
      </c>
      <c r="H5" s="23" t="s">
        <v>36</v>
      </c>
      <c r="I5" s="23" t="s">
        <v>37</v>
      </c>
      <c r="J5" s="23" t="s">
        <v>38</v>
      </c>
      <c r="K5" s="23" t="s">
        <v>39</v>
      </c>
      <c r="L5" s="23" t="s">
        <v>40</v>
      </c>
      <c r="M5" s="23" t="s">
        <v>41</v>
      </c>
      <c r="N5" s="23" t="s">
        <v>42</v>
      </c>
      <c r="O5" s="23" t="s">
        <v>43</v>
      </c>
      <c r="P5" s="23" t="s">
        <v>44</v>
      </c>
      <c r="Q5" s="23" t="s">
        <v>45</v>
      </c>
      <c r="R5" s="23" t="s">
        <v>46</v>
      </c>
      <c r="S5" s="23" t="s">
        <v>47</v>
      </c>
      <c r="T5" s="23" t="s">
        <v>48</v>
      </c>
      <c r="U5" s="23" t="s">
        <v>49</v>
      </c>
      <c r="V5" s="23" t="s">
        <v>50</v>
      </c>
      <c r="W5" s="23" t="s">
        <v>51</v>
      </c>
      <c r="X5" s="23" t="s">
        <v>52</v>
      </c>
      <c r="Y5" s="23" t="s">
        <v>53</v>
      </c>
      <c r="Z5" s="23" t="s">
        <v>54</v>
      </c>
      <c r="AA5" s="23" t="s">
        <v>55</v>
      </c>
      <c r="AB5" s="23" t="s">
        <v>56</v>
      </c>
      <c r="AC5" s="23" t="s">
        <v>57</v>
      </c>
      <c r="AD5" s="23" t="s">
        <v>58</v>
      </c>
      <c r="AE5" s="21" t="s">
        <v>59</v>
      </c>
    </row>
    <row r="6" spans="1:31" s="28" customFormat="1" ht="12">
      <c r="A6" s="33">
        <v>1</v>
      </c>
      <c r="B6" s="45" t="s">
        <v>65</v>
      </c>
      <c r="C6" s="16">
        <f>SUM(C7:C8)</f>
        <v>878598692.14</v>
      </c>
      <c r="D6" s="13">
        <f aca="true" t="shared" si="0" ref="D6:W6">+D7+D8</f>
        <v>902929973</v>
      </c>
      <c r="E6" s="13">
        <f t="shared" si="0"/>
        <v>925049052.26</v>
      </c>
      <c r="F6" s="13">
        <f t="shared" si="0"/>
        <v>941642746.54</v>
      </c>
      <c r="G6" s="14">
        <f t="shared" si="0"/>
        <v>946259603.7</v>
      </c>
      <c r="H6" s="13">
        <f t="shared" si="0"/>
        <v>976668572.84</v>
      </c>
      <c r="I6" s="13">
        <f t="shared" si="0"/>
        <v>1014242226.13</v>
      </c>
      <c r="J6" s="13">
        <f t="shared" si="0"/>
        <v>1047428213.83</v>
      </c>
      <c r="K6" s="13">
        <f t="shared" si="0"/>
        <v>1081665619.09</v>
      </c>
      <c r="L6" s="13">
        <f t="shared" si="0"/>
        <v>1116965868.75</v>
      </c>
      <c r="M6" s="13">
        <f t="shared" si="0"/>
        <v>1153339376.3</v>
      </c>
      <c r="N6" s="13">
        <f t="shared" si="0"/>
        <v>1190795507.86</v>
      </c>
      <c r="O6" s="13">
        <f t="shared" si="0"/>
        <v>1228742378.81</v>
      </c>
      <c r="P6" s="13">
        <f t="shared" si="0"/>
        <v>1268163200.21</v>
      </c>
      <c r="Q6" s="13">
        <f t="shared" si="0"/>
        <v>1309116118.91</v>
      </c>
      <c r="R6" s="13">
        <f t="shared" si="0"/>
        <v>1351212775.56</v>
      </c>
      <c r="S6" s="13">
        <f t="shared" si="0"/>
        <v>1394925819.38</v>
      </c>
      <c r="T6" s="13">
        <f t="shared" si="0"/>
        <v>1439134609.72</v>
      </c>
      <c r="U6" s="13">
        <f t="shared" si="0"/>
        <v>1485005461.69</v>
      </c>
      <c r="V6" s="13">
        <f t="shared" si="0"/>
        <v>1532601986.24</v>
      </c>
      <c r="W6" s="13">
        <f t="shared" si="0"/>
        <v>1581990340.19</v>
      </c>
      <c r="X6" s="13">
        <f aca="true" t="shared" si="1" ref="X6:AE6">+X7+X8</f>
        <v>1632662365.33</v>
      </c>
      <c r="Y6" s="13">
        <f t="shared" si="1"/>
        <v>1683814429.5</v>
      </c>
      <c r="Z6" s="13">
        <f t="shared" si="1"/>
        <v>1736825325.19</v>
      </c>
      <c r="AA6" s="13">
        <f t="shared" si="1"/>
        <v>1791113175.55</v>
      </c>
      <c r="AB6" s="13">
        <f t="shared" si="1"/>
        <v>1847347523.56</v>
      </c>
      <c r="AC6" s="13">
        <f t="shared" si="1"/>
        <v>1905599438.83</v>
      </c>
      <c r="AD6" s="13">
        <f t="shared" si="1"/>
        <v>1965210493.49</v>
      </c>
      <c r="AE6" s="15">
        <f t="shared" si="1"/>
        <v>2026931339.82</v>
      </c>
    </row>
    <row r="7" spans="1:31" s="28" customFormat="1" ht="12">
      <c r="A7" s="27" t="s">
        <v>3</v>
      </c>
      <c r="B7" s="46" t="s">
        <v>24</v>
      </c>
      <c r="C7" s="16">
        <v>800791813.73</v>
      </c>
      <c r="D7" s="13">
        <v>822211844</v>
      </c>
      <c r="E7" s="13">
        <f>830964473.04+1682032</f>
        <v>832646505.04</v>
      </c>
      <c r="F7" s="13">
        <v>869659531.88</v>
      </c>
      <c r="G7" s="14">
        <v>905506283.06</v>
      </c>
      <c r="H7" s="13">
        <v>942277305.33</v>
      </c>
      <c r="I7" s="13">
        <v>980204935.42</v>
      </c>
      <c r="J7" s="13">
        <v>1013749855.6</v>
      </c>
      <c r="K7" s="13">
        <v>1048336861.09</v>
      </c>
      <c r="L7" s="13">
        <v>1083977621.38</v>
      </c>
      <c r="M7" s="13">
        <v>1120682786.28</v>
      </c>
      <c r="N7" s="13">
        <v>1158461952.1</v>
      </c>
      <c r="O7" s="13">
        <v>1196735559.78</v>
      </c>
      <c r="P7" s="13">
        <v>1236474296.02</v>
      </c>
      <c r="Q7" s="13">
        <v>1277736545.87</v>
      </c>
      <c r="R7" s="13">
        <v>1320134181.72</v>
      </c>
      <c r="S7" s="13">
        <v>1364140078.3</v>
      </c>
      <c r="T7" s="13">
        <v>1408644367.93</v>
      </c>
      <c r="U7" s="13">
        <v>1454802445.2</v>
      </c>
      <c r="V7" s="13">
        <v>1502678152.74</v>
      </c>
      <c r="W7" s="13">
        <v>1552337872.56</v>
      </c>
      <c r="X7" s="13">
        <v>1603273665.32</v>
      </c>
      <c r="Y7" s="13">
        <v>1654691268.13</v>
      </c>
      <c r="Z7" s="13">
        <v>1707960001.84</v>
      </c>
      <c r="AA7" s="13">
        <v>1762498212.91</v>
      </c>
      <c r="AB7" s="13">
        <v>1818975661.18</v>
      </c>
      <c r="AC7" s="13">
        <v>1877463626.79</v>
      </c>
      <c r="AD7" s="13">
        <v>1937303886.33</v>
      </c>
      <c r="AE7" s="15">
        <v>1999247290.61</v>
      </c>
    </row>
    <row r="8" spans="1:31" s="28" customFormat="1" ht="12">
      <c r="A8" s="27" t="s">
        <v>4</v>
      </c>
      <c r="B8" s="46" t="s">
        <v>25</v>
      </c>
      <c r="C8" s="16">
        <v>77806878.41</v>
      </c>
      <c r="D8" s="13">
        <v>80718129</v>
      </c>
      <c r="E8" s="13">
        <f>87077297.22+5325250</f>
        <v>92402547.22</v>
      </c>
      <c r="F8" s="13">
        <v>71983214.66</v>
      </c>
      <c r="G8" s="14">
        <v>40753320.64</v>
      </c>
      <c r="H8" s="13">
        <v>34391267.51</v>
      </c>
      <c r="I8" s="13">
        <v>34037290.71</v>
      </c>
      <c r="J8" s="13">
        <v>33678358.23</v>
      </c>
      <c r="K8" s="13">
        <v>33328758</v>
      </c>
      <c r="L8" s="13">
        <v>32988247.37</v>
      </c>
      <c r="M8" s="13">
        <v>32656590.02</v>
      </c>
      <c r="N8" s="13">
        <v>32333555.76</v>
      </c>
      <c r="O8" s="13">
        <v>32006819.03</v>
      </c>
      <c r="P8" s="13">
        <v>31688904.19</v>
      </c>
      <c r="Q8" s="13">
        <v>31379573.04</v>
      </c>
      <c r="R8" s="13">
        <v>31078593.84</v>
      </c>
      <c r="S8" s="13">
        <v>30785741.08</v>
      </c>
      <c r="T8" s="13">
        <v>30490241.79</v>
      </c>
      <c r="U8" s="13">
        <v>30203016.49</v>
      </c>
      <c r="V8" s="13">
        <v>29923833.5</v>
      </c>
      <c r="W8" s="13">
        <v>29652467.63</v>
      </c>
      <c r="X8" s="13">
        <v>29388700.01</v>
      </c>
      <c r="Y8" s="13">
        <v>29123161.37</v>
      </c>
      <c r="Z8" s="13">
        <v>28865323.35</v>
      </c>
      <c r="AA8" s="13">
        <v>28614962.64</v>
      </c>
      <c r="AB8" s="13">
        <v>28371862.38</v>
      </c>
      <c r="AC8" s="13">
        <v>28135812.04</v>
      </c>
      <c r="AD8" s="13">
        <v>27906607.16</v>
      </c>
      <c r="AE8" s="15">
        <v>27684049.21</v>
      </c>
    </row>
    <row r="9" spans="1:31" s="28" customFormat="1" ht="12">
      <c r="A9" s="33" t="s">
        <v>5</v>
      </c>
      <c r="B9" s="46" t="s">
        <v>26</v>
      </c>
      <c r="C9" s="16">
        <v>14720784.2</v>
      </c>
      <c r="D9" s="13">
        <v>15479550</v>
      </c>
      <c r="E9" s="13">
        <v>15276397.5</v>
      </c>
      <c r="F9" s="13">
        <v>14894487.57</v>
      </c>
      <c r="G9" s="14">
        <v>14522125.38</v>
      </c>
      <c r="H9" s="13">
        <v>14159072.25</v>
      </c>
      <c r="I9" s="13">
        <v>13805095.45</v>
      </c>
      <c r="J9" s="13">
        <v>13446162.97</v>
      </c>
      <c r="K9" s="13">
        <v>13096562.74</v>
      </c>
      <c r="L9" s="13">
        <v>12756052.11</v>
      </c>
      <c r="M9" s="13">
        <v>12424394.76</v>
      </c>
      <c r="N9" s="13">
        <v>12101360.5</v>
      </c>
      <c r="O9" s="13">
        <v>11774623.77</v>
      </c>
      <c r="P9" s="13">
        <v>11456708.93</v>
      </c>
      <c r="Q9" s="13">
        <v>11147377.78</v>
      </c>
      <c r="R9" s="13">
        <v>10846398.58</v>
      </c>
      <c r="S9" s="13">
        <v>10553545.82</v>
      </c>
      <c r="T9" s="13">
        <v>10258046.53</v>
      </c>
      <c r="U9" s="13">
        <v>9970821.23</v>
      </c>
      <c r="V9" s="13">
        <v>9691638.24</v>
      </c>
      <c r="W9" s="13">
        <v>9420272.37</v>
      </c>
      <c r="X9" s="13">
        <v>9156504.75</v>
      </c>
      <c r="Y9" s="13">
        <v>8890966.11</v>
      </c>
      <c r="Z9" s="13">
        <v>8633128.09</v>
      </c>
      <c r="AA9" s="13">
        <v>8382767.38</v>
      </c>
      <c r="AB9" s="13">
        <v>8139667.12</v>
      </c>
      <c r="AC9" s="13">
        <v>7903616.78</v>
      </c>
      <c r="AD9" s="13">
        <v>7674411.9</v>
      </c>
      <c r="AE9" s="15">
        <v>7451853.95</v>
      </c>
    </row>
    <row r="10" spans="1:31" s="28" customFormat="1" ht="24">
      <c r="A10" s="33">
        <v>2</v>
      </c>
      <c r="B10" s="45" t="s">
        <v>64</v>
      </c>
      <c r="C10" s="16">
        <v>746091680.28</v>
      </c>
      <c r="D10" s="13">
        <v>786514167</v>
      </c>
      <c r="E10" s="13">
        <v>776103574.95</v>
      </c>
      <c r="F10" s="13">
        <f>E10*103.5%</f>
        <v>803267200.07</v>
      </c>
      <c r="G10" s="14">
        <f>F10*103.5%</f>
        <v>831381552.07</v>
      </c>
      <c r="H10" s="13">
        <f>G10*103.5%</f>
        <v>860479906.39</v>
      </c>
      <c r="I10" s="13">
        <f>H10*103.5%</f>
        <v>890596703.11</v>
      </c>
      <c r="J10" s="13">
        <f>I10*103.4%</f>
        <v>920876991.02</v>
      </c>
      <c r="K10" s="13">
        <f>J10*103.4%</f>
        <v>952186808.71</v>
      </c>
      <c r="L10" s="13">
        <f>K10*103.4%</f>
        <v>984561160.21</v>
      </c>
      <c r="M10" s="13">
        <f aca="true" t="shared" si="2" ref="M10:N12">L10*102.4%</f>
        <v>1008190628.06</v>
      </c>
      <c r="N10" s="13">
        <f t="shared" si="2"/>
        <v>1032387203.13</v>
      </c>
      <c r="O10" s="13">
        <f>N10*102.3%</f>
        <v>1056132108.8</v>
      </c>
      <c r="P10" s="13">
        <f>O10*102.3%</f>
        <v>1080423147.3</v>
      </c>
      <c r="Q10" s="13">
        <f>P10*102.3%</f>
        <v>1105272879.69</v>
      </c>
      <c r="R10" s="13">
        <f>Q10*102.3%</f>
        <v>1130694155.92</v>
      </c>
      <c r="S10" s="13">
        <f>R10*102.3%</f>
        <v>1156700121.51</v>
      </c>
      <c r="T10" s="13">
        <f aca="true" t="shared" si="3" ref="T10:X12">S10*102.2%</f>
        <v>1182147524.18</v>
      </c>
      <c r="U10" s="13">
        <f t="shared" si="3"/>
        <v>1208154769.71</v>
      </c>
      <c r="V10" s="13">
        <f t="shared" si="3"/>
        <v>1234734174.64</v>
      </c>
      <c r="W10" s="13">
        <f t="shared" si="3"/>
        <v>1261898326.48</v>
      </c>
      <c r="X10" s="13">
        <f t="shared" si="3"/>
        <v>1289660089.66</v>
      </c>
      <c r="Y10" s="13">
        <f>X10*102.1%</f>
        <v>1316742951.54</v>
      </c>
      <c r="Z10" s="13">
        <f aca="true" t="shared" si="4" ref="Z10:AE10">Y10*102.1%</f>
        <v>1344394553.52</v>
      </c>
      <c r="AA10" s="13">
        <f t="shared" si="4"/>
        <v>1372626839.14</v>
      </c>
      <c r="AB10" s="13">
        <f t="shared" si="4"/>
        <v>1401452002.76</v>
      </c>
      <c r="AC10" s="13">
        <f t="shared" si="4"/>
        <v>1430882494.82</v>
      </c>
      <c r="AD10" s="13">
        <f t="shared" si="4"/>
        <v>1460931027.21</v>
      </c>
      <c r="AE10" s="15">
        <f t="shared" si="4"/>
        <v>1491610578.78</v>
      </c>
    </row>
    <row r="11" spans="1:31" s="28" customFormat="1" ht="12">
      <c r="A11" s="33" t="s">
        <v>3</v>
      </c>
      <c r="B11" s="45" t="s">
        <v>62</v>
      </c>
      <c r="C11" s="16">
        <v>392418975.17</v>
      </c>
      <c r="D11" s="13">
        <v>417704219</v>
      </c>
      <c r="E11" s="13">
        <f aca="true" t="shared" si="5" ref="E11:I12">D11*102.5%</f>
        <v>428146824.48</v>
      </c>
      <c r="F11" s="13">
        <f t="shared" si="5"/>
        <v>438850495.09</v>
      </c>
      <c r="G11" s="14">
        <f t="shared" si="5"/>
        <v>449821757.47</v>
      </c>
      <c r="H11" s="13">
        <f t="shared" si="5"/>
        <v>461067301.41</v>
      </c>
      <c r="I11" s="13">
        <f t="shared" si="5"/>
        <v>472593983.95</v>
      </c>
      <c r="J11" s="13">
        <f aca="true" t="shared" si="6" ref="J11:L12">I11*102.4%</f>
        <v>483936239.56</v>
      </c>
      <c r="K11" s="13">
        <f t="shared" si="6"/>
        <v>495550709.31</v>
      </c>
      <c r="L11" s="13">
        <f t="shared" si="6"/>
        <v>507443926.33</v>
      </c>
      <c r="M11" s="13">
        <f t="shared" si="2"/>
        <v>519622580.56</v>
      </c>
      <c r="N11" s="13">
        <f t="shared" si="2"/>
        <v>532093522.49</v>
      </c>
      <c r="O11" s="13">
        <f>N11*102.3%</f>
        <v>544331673.51</v>
      </c>
      <c r="P11" s="13">
        <f>O11*102.3%</f>
        <v>556851302</v>
      </c>
      <c r="Q11" s="13">
        <f>P11*103.5%</f>
        <v>576341097.57</v>
      </c>
      <c r="R11" s="13">
        <f>Q11*102.3%</f>
        <v>589596942.81</v>
      </c>
      <c r="S11" s="13">
        <f>R11*102.3%</f>
        <v>603157672.49</v>
      </c>
      <c r="T11" s="13">
        <f t="shared" si="3"/>
        <v>616427141.28</v>
      </c>
      <c r="U11" s="13">
        <f t="shared" si="3"/>
        <v>629988538.39</v>
      </c>
      <c r="V11" s="13">
        <f t="shared" si="3"/>
        <v>643848286.23</v>
      </c>
      <c r="W11" s="13">
        <f t="shared" si="3"/>
        <v>658012948.53</v>
      </c>
      <c r="X11" s="13">
        <f t="shared" si="3"/>
        <v>672489233.4</v>
      </c>
      <c r="Y11" s="13">
        <f aca="true" t="shared" si="7" ref="Y11:AE12">X11*102.1%</f>
        <v>686611507.3</v>
      </c>
      <c r="Z11" s="13">
        <f t="shared" si="7"/>
        <v>701030348.95</v>
      </c>
      <c r="AA11" s="13">
        <f t="shared" si="7"/>
        <v>715751986.28</v>
      </c>
      <c r="AB11" s="13">
        <f t="shared" si="7"/>
        <v>730782777.99</v>
      </c>
      <c r="AC11" s="13">
        <f t="shared" si="7"/>
        <v>746129216.33</v>
      </c>
      <c r="AD11" s="13">
        <f t="shared" si="7"/>
        <v>761797929.87</v>
      </c>
      <c r="AE11" s="15">
        <f t="shared" si="7"/>
        <v>777795686.4</v>
      </c>
    </row>
    <row r="12" spans="1:31" s="28" customFormat="1" ht="12">
      <c r="A12" s="33" t="s">
        <v>4</v>
      </c>
      <c r="B12" s="45" t="s">
        <v>63</v>
      </c>
      <c r="C12" s="16">
        <v>38177424.74</v>
      </c>
      <c r="D12" s="13">
        <v>40373347</v>
      </c>
      <c r="E12" s="13">
        <f t="shared" si="5"/>
        <v>41382680.68</v>
      </c>
      <c r="F12" s="13">
        <f t="shared" si="5"/>
        <v>42417247.7</v>
      </c>
      <c r="G12" s="14">
        <f t="shared" si="5"/>
        <v>43477678.89</v>
      </c>
      <c r="H12" s="13">
        <f t="shared" si="5"/>
        <v>44564620.86</v>
      </c>
      <c r="I12" s="13">
        <f t="shared" si="5"/>
        <v>45678736.38</v>
      </c>
      <c r="J12" s="13">
        <f t="shared" si="6"/>
        <v>46775026.05</v>
      </c>
      <c r="K12" s="13">
        <f t="shared" si="6"/>
        <v>47897626.68</v>
      </c>
      <c r="L12" s="13">
        <f t="shared" si="6"/>
        <v>49047169.72</v>
      </c>
      <c r="M12" s="13">
        <f t="shared" si="2"/>
        <v>50224301.79</v>
      </c>
      <c r="N12" s="13">
        <f t="shared" si="2"/>
        <v>51429685.03</v>
      </c>
      <c r="O12" s="13">
        <f>N12*102.3%</f>
        <v>52612567.79</v>
      </c>
      <c r="P12" s="13">
        <f>O12*102.3%</f>
        <v>53822656.85</v>
      </c>
      <c r="Q12" s="13">
        <f>P12*103.5%</f>
        <v>55706449.84</v>
      </c>
      <c r="R12" s="13">
        <f>Q12*102.3%</f>
        <v>56987698.19</v>
      </c>
      <c r="S12" s="13">
        <f>R12*102.3%</f>
        <v>58298415.25</v>
      </c>
      <c r="T12" s="13">
        <f t="shared" si="3"/>
        <v>59580980.39</v>
      </c>
      <c r="U12" s="13">
        <f t="shared" si="3"/>
        <v>60891761.96</v>
      </c>
      <c r="V12" s="13">
        <f t="shared" si="3"/>
        <v>62231380.72</v>
      </c>
      <c r="W12" s="13">
        <f t="shared" si="3"/>
        <v>63600471.1</v>
      </c>
      <c r="X12" s="13">
        <f t="shared" si="3"/>
        <v>64999681.46</v>
      </c>
      <c r="Y12" s="13">
        <f t="shared" si="7"/>
        <v>66364674.77</v>
      </c>
      <c r="Z12" s="13">
        <f t="shared" si="7"/>
        <v>67758332.94</v>
      </c>
      <c r="AA12" s="13">
        <f t="shared" si="7"/>
        <v>69181257.93</v>
      </c>
      <c r="AB12" s="13">
        <f t="shared" si="7"/>
        <v>70634064.35</v>
      </c>
      <c r="AC12" s="13">
        <f t="shared" si="7"/>
        <v>72117379.7</v>
      </c>
      <c r="AD12" s="13">
        <f t="shared" si="7"/>
        <v>73631844.67</v>
      </c>
      <c r="AE12" s="15">
        <f t="shared" si="7"/>
        <v>75178113.41</v>
      </c>
    </row>
    <row r="13" spans="1:31" s="28" customFormat="1" ht="12">
      <c r="A13" s="33" t="s">
        <v>5</v>
      </c>
      <c r="B13" s="46" t="s">
        <v>61</v>
      </c>
      <c r="C13" s="16">
        <v>0</v>
      </c>
      <c r="D13" s="13">
        <v>1984931</v>
      </c>
      <c r="E13" s="13">
        <v>2030924</v>
      </c>
      <c r="F13" s="13">
        <v>2036239</v>
      </c>
      <c r="G13" s="14">
        <v>2041686</v>
      </c>
      <c r="H13" s="13">
        <v>2046569</v>
      </c>
      <c r="I13" s="13">
        <v>2051133</v>
      </c>
      <c r="J13" s="13">
        <v>2055789</v>
      </c>
      <c r="K13" s="13">
        <v>1902188</v>
      </c>
      <c r="L13" s="13">
        <v>1817369</v>
      </c>
      <c r="M13" s="13">
        <v>1670335</v>
      </c>
      <c r="N13" s="13">
        <v>1513945</v>
      </c>
      <c r="O13" s="13">
        <v>1347783</v>
      </c>
      <c r="P13" s="13">
        <v>1171422</v>
      </c>
      <c r="Q13" s="13">
        <v>984418</v>
      </c>
      <c r="R13" s="13">
        <v>786309</v>
      </c>
      <c r="S13" s="13">
        <v>576615</v>
      </c>
      <c r="T13" s="13">
        <v>354837</v>
      </c>
      <c r="U13" s="13">
        <v>295226</v>
      </c>
      <c r="V13" s="13">
        <v>301130</v>
      </c>
      <c r="W13" s="13">
        <v>307153</v>
      </c>
      <c r="X13" s="13">
        <v>313296</v>
      </c>
      <c r="Y13" s="13">
        <v>319561</v>
      </c>
      <c r="Z13" s="13">
        <v>139191</v>
      </c>
      <c r="AA13" s="13">
        <v>0</v>
      </c>
      <c r="AB13" s="13">
        <v>0</v>
      </c>
      <c r="AC13" s="13">
        <v>0</v>
      </c>
      <c r="AD13" s="13">
        <v>0</v>
      </c>
      <c r="AE13" s="15">
        <v>0</v>
      </c>
    </row>
    <row r="14" spans="1:31" s="28" customFormat="1" ht="24">
      <c r="A14" s="33" t="s">
        <v>6</v>
      </c>
      <c r="B14" s="46" t="s">
        <v>79</v>
      </c>
      <c r="C14" s="16">
        <v>0</v>
      </c>
      <c r="D14" s="13">
        <v>0</v>
      </c>
      <c r="E14" s="13">
        <v>0</v>
      </c>
      <c r="F14" s="13">
        <v>0</v>
      </c>
      <c r="G14" s="14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5">
        <v>0</v>
      </c>
    </row>
    <row r="15" spans="1:31" s="28" customFormat="1" ht="12">
      <c r="A15" s="33" t="s">
        <v>7</v>
      </c>
      <c r="B15" s="45" t="s">
        <v>66</v>
      </c>
      <c r="C15" s="16">
        <v>96449744</v>
      </c>
      <c r="D15" s="13">
        <v>125142284</v>
      </c>
      <c r="E15" s="13">
        <v>114693958</v>
      </c>
      <c r="F15" s="13">
        <v>93598163</v>
      </c>
      <c r="G15" s="14">
        <v>97334760</v>
      </c>
      <c r="H15" s="13">
        <v>92937147</v>
      </c>
      <c r="I15" s="13">
        <v>91275467</v>
      </c>
      <c r="J15" s="13">
        <v>89453822</v>
      </c>
      <c r="K15" s="13">
        <v>31783085</v>
      </c>
      <c r="L15" s="13">
        <v>29952401</v>
      </c>
      <c r="M15" s="13">
        <v>28015871</v>
      </c>
      <c r="N15" s="13">
        <v>26159028</v>
      </c>
      <c r="O15" s="13">
        <v>24650320</v>
      </c>
      <c r="P15" s="13">
        <v>23657192</v>
      </c>
      <c r="Q15" s="13">
        <v>22708985</v>
      </c>
      <c r="R15" s="13">
        <v>21809426</v>
      </c>
      <c r="S15" s="13">
        <v>21048419</v>
      </c>
      <c r="T15" s="13">
        <v>20377528</v>
      </c>
      <c r="U15" s="13">
        <v>19864236</v>
      </c>
      <c r="V15" s="13">
        <v>19301130</v>
      </c>
      <c r="W15" s="13">
        <v>19307153</v>
      </c>
      <c r="X15" s="13">
        <v>19313296</v>
      </c>
      <c r="Y15" s="13">
        <v>19319561</v>
      </c>
      <c r="Z15" s="13">
        <v>19139191</v>
      </c>
      <c r="AA15" s="13">
        <v>19000000</v>
      </c>
      <c r="AB15" s="13">
        <v>19000000</v>
      </c>
      <c r="AC15" s="13">
        <v>19000000</v>
      </c>
      <c r="AD15" s="13">
        <v>19000000</v>
      </c>
      <c r="AE15" s="15">
        <v>19000000</v>
      </c>
    </row>
    <row r="16" spans="1:31" s="28" customFormat="1" ht="13.5" customHeight="1">
      <c r="A16" s="33">
        <v>3</v>
      </c>
      <c r="B16" s="46" t="s">
        <v>22</v>
      </c>
      <c r="C16" s="16">
        <f>+C6-C10</f>
        <v>132507011.86</v>
      </c>
      <c r="D16" s="13">
        <f>+D6-D10</f>
        <v>116415806</v>
      </c>
      <c r="E16" s="13">
        <f>+E6-E10</f>
        <v>148945477.31</v>
      </c>
      <c r="F16" s="13">
        <f>+F6-F10</f>
        <v>138375546.47</v>
      </c>
      <c r="G16" s="14">
        <f>+G6-G10</f>
        <v>114878051.63</v>
      </c>
      <c r="H16" s="13">
        <f aca="true" t="shared" si="8" ref="H16:AE16">+H6-H10</f>
        <v>116188666.45</v>
      </c>
      <c r="I16" s="13">
        <f t="shared" si="8"/>
        <v>123645523.02</v>
      </c>
      <c r="J16" s="13">
        <f t="shared" si="8"/>
        <v>126551222.81</v>
      </c>
      <c r="K16" s="13">
        <f t="shared" si="8"/>
        <v>129478810.38</v>
      </c>
      <c r="L16" s="13">
        <f t="shared" si="8"/>
        <v>132404708.54</v>
      </c>
      <c r="M16" s="13">
        <f t="shared" si="8"/>
        <v>145148748.24</v>
      </c>
      <c r="N16" s="13">
        <f t="shared" si="8"/>
        <v>158408304.73</v>
      </c>
      <c r="O16" s="13">
        <f t="shared" si="8"/>
        <v>172610270.01</v>
      </c>
      <c r="P16" s="13">
        <f t="shared" si="8"/>
        <v>187740052.91</v>
      </c>
      <c r="Q16" s="13">
        <f t="shared" si="8"/>
        <v>203843239.22</v>
      </c>
      <c r="R16" s="13">
        <f t="shared" si="8"/>
        <v>220518619.64</v>
      </c>
      <c r="S16" s="13">
        <f t="shared" si="8"/>
        <v>238225697.87</v>
      </c>
      <c r="T16" s="13">
        <f t="shared" si="8"/>
        <v>256987085.54</v>
      </c>
      <c r="U16" s="13">
        <f t="shared" si="8"/>
        <v>276850691.98</v>
      </c>
      <c r="V16" s="13">
        <f t="shared" si="8"/>
        <v>297867811.6</v>
      </c>
      <c r="W16" s="13">
        <f t="shared" si="8"/>
        <v>320092013.71</v>
      </c>
      <c r="X16" s="13">
        <f t="shared" si="8"/>
        <v>343002275.67</v>
      </c>
      <c r="Y16" s="13">
        <f t="shared" si="8"/>
        <v>367071477.96</v>
      </c>
      <c r="Z16" s="13">
        <f t="shared" si="8"/>
        <v>392430771.67</v>
      </c>
      <c r="AA16" s="13">
        <f t="shared" si="8"/>
        <v>418486336.41</v>
      </c>
      <c r="AB16" s="13">
        <f t="shared" si="8"/>
        <v>445895520.8</v>
      </c>
      <c r="AC16" s="13">
        <f t="shared" si="8"/>
        <v>474716944.01</v>
      </c>
      <c r="AD16" s="13">
        <f t="shared" si="8"/>
        <v>504279466.28</v>
      </c>
      <c r="AE16" s="15">
        <f t="shared" si="8"/>
        <v>535320761.04</v>
      </c>
    </row>
    <row r="17" spans="1:31" s="28" customFormat="1" ht="15" customHeight="1">
      <c r="A17" s="33">
        <v>4</v>
      </c>
      <c r="B17" s="46" t="s">
        <v>27</v>
      </c>
      <c r="C17" s="16">
        <v>2695755.64</v>
      </c>
      <c r="D17" s="13">
        <v>16372143</v>
      </c>
      <c r="E17" s="13">
        <f>D29</f>
        <v>0</v>
      </c>
      <c r="F17" s="13">
        <f>E29</f>
        <v>0</v>
      </c>
      <c r="G17" s="14">
        <f>F29</f>
        <v>0</v>
      </c>
      <c r="H17" s="13">
        <f aca="true" t="shared" si="9" ref="H17:AE17">G29</f>
        <v>0</v>
      </c>
      <c r="I17" s="13">
        <f t="shared" si="9"/>
        <v>0</v>
      </c>
      <c r="J17" s="13">
        <f t="shared" si="9"/>
        <v>0</v>
      </c>
      <c r="K17" s="13">
        <f t="shared" si="9"/>
        <v>0</v>
      </c>
      <c r="L17" s="13">
        <f t="shared" si="9"/>
        <v>0</v>
      </c>
      <c r="M17" s="13">
        <f t="shared" si="9"/>
        <v>0</v>
      </c>
      <c r="N17" s="13">
        <f t="shared" si="9"/>
        <v>0</v>
      </c>
      <c r="O17" s="13">
        <f t="shared" si="9"/>
        <v>0</v>
      </c>
      <c r="P17" s="13">
        <f t="shared" si="9"/>
        <v>0</v>
      </c>
      <c r="Q17" s="13">
        <f t="shared" si="9"/>
        <v>0</v>
      </c>
      <c r="R17" s="13">
        <f t="shared" si="9"/>
        <v>0</v>
      </c>
      <c r="S17" s="13">
        <f t="shared" si="9"/>
        <v>0</v>
      </c>
      <c r="T17" s="13">
        <f t="shared" si="9"/>
        <v>0</v>
      </c>
      <c r="U17" s="13">
        <f t="shared" si="9"/>
        <v>0</v>
      </c>
      <c r="V17" s="13">
        <f t="shared" si="9"/>
        <v>0</v>
      </c>
      <c r="W17" s="13">
        <f t="shared" si="9"/>
        <v>0</v>
      </c>
      <c r="X17" s="13">
        <f t="shared" si="9"/>
        <v>0</v>
      </c>
      <c r="Y17" s="13">
        <f t="shared" si="9"/>
        <v>0</v>
      </c>
      <c r="Z17" s="13">
        <f t="shared" si="9"/>
        <v>0</v>
      </c>
      <c r="AA17" s="13">
        <f t="shared" si="9"/>
        <v>0</v>
      </c>
      <c r="AB17" s="13">
        <f t="shared" si="9"/>
        <v>0</v>
      </c>
      <c r="AC17" s="13">
        <f t="shared" si="9"/>
        <v>0</v>
      </c>
      <c r="AD17" s="13">
        <f t="shared" si="9"/>
        <v>0</v>
      </c>
      <c r="AE17" s="15">
        <f t="shared" si="9"/>
        <v>0</v>
      </c>
    </row>
    <row r="18" spans="1:31" s="28" customFormat="1" ht="24">
      <c r="A18" s="33" t="s">
        <v>3</v>
      </c>
      <c r="B18" s="47" t="s">
        <v>28</v>
      </c>
      <c r="C18" s="16"/>
      <c r="D18" s="13">
        <v>0</v>
      </c>
      <c r="E18" s="13">
        <v>0</v>
      </c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5"/>
    </row>
    <row r="19" spans="1:31" s="28" customFormat="1" ht="12">
      <c r="A19" s="33">
        <v>5</v>
      </c>
      <c r="B19" s="45" t="s">
        <v>67</v>
      </c>
      <c r="C19" s="16">
        <v>6000000</v>
      </c>
      <c r="D19" s="13">
        <v>5000000</v>
      </c>
      <c r="E19" s="13">
        <v>0</v>
      </c>
      <c r="F19" s="13">
        <v>0</v>
      </c>
      <c r="G19" s="14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  <c r="AB19" s="13">
        <v>0</v>
      </c>
      <c r="AC19" s="13">
        <v>0</v>
      </c>
      <c r="AD19" s="13">
        <v>0</v>
      </c>
      <c r="AE19" s="15">
        <v>0</v>
      </c>
    </row>
    <row r="20" spans="1:31" s="28" customFormat="1" ht="12">
      <c r="A20" s="33">
        <v>6</v>
      </c>
      <c r="B20" s="46" t="s">
        <v>8</v>
      </c>
      <c r="C20" s="16">
        <f>+C16+C17+C19</f>
        <v>141202767.5</v>
      </c>
      <c r="D20" s="13">
        <f>+D16+D17+D19</f>
        <v>137787949</v>
      </c>
      <c r="E20" s="13">
        <f>+E16+E17+E19</f>
        <v>148945477.31</v>
      </c>
      <c r="F20" s="13">
        <f>+F16+F17+F19</f>
        <v>138375546.47</v>
      </c>
      <c r="G20" s="14">
        <f>+G16+G17+G19</f>
        <v>114878051.63</v>
      </c>
      <c r="H20" s="13">
        <f aca="true" t="shared" si="10" ref="H20:AE20">+H16+H17+H19</f>
        <v>116188666.45</v>
      </c>
      <c r="I20" s="13">
        <f t="shared" si="10"/>
        <v>123645523.02</v>
      </c>
      <c r="J20" s="13">
        <f t="shared" si="10"/>
        <v>126551222.81</v>
      </c>
      <c r="K20" s="13">
        <f t="shared" si="10"/>
        <v>129478810.38</v>
      </c>
      <c r="L20" s="13">
        <f t="shared" si="10"/>
        <v>132404708.54</v>
      </c>
      <c r="M20" s="13">
        <f t="shared" si="10"/>
        <v>145148748.24</v>
      </c>
      <c r="N20" s="13">
        <f t="shared" si="10"/>
        <v>158408304.73</v>
      </c>
      <c r="O20" s="13">
        <f t="shared" si="10"/>
        <v>172610270.01</v>
      </c>
      <c r="P20" s="13">
        <f t="shared" si="10"/>
        <v>187740052.91</v>
      </c>
      <c r="Q20" s="13">
        <f t="shared" si="10"/>
        <v>203843239.22</v>
      </c>
      <c r="R20" s="13">
        <f t="shared" si="10"/>
        <v>220518619.64</v>
      </c>
      <c r="S20" s="13">
        <f t="shared" si="10"/>
        <v>238225697.87</v>
      </c>
      <c r="T20" s="13">
        <f t="shared" si="10"/>
        <v>256987085.54</v>
      </c>
      <c r="U20" s="13">
        <f t="shared" si="10"/>
        <v>276850691.98</v>
      </c>
      <c r="V20" s="13">
        <f t="shared" si="10"/>
        <v>297867811.6</v>
      </c>
      <c r="W20" s="13">
        <f t="shared" si="10"/>
        <v>320092013.71</v>
      </c>
      <c r="X20" s="13">
        <f t="shared" si="10"/>
        <v>343002275.67</v>
      </c>
      <c r="Y20" s="13">
        <f t="shared" si="10"/>
        <v>367071477.96</v>
      </c>
      <c r="Z20" s="13">
        <f t="shared" si="10"/>
        <v>392430771.67</v>
      </c>
      <c r="AA20" s="14">
        <f t="shared" si="10"/>
        <v>418486336.41</v>
      </c>
      <c r="AB20" s="13">
        <f t="shared" si="10"/>
        <v>445895520.8</v>
      </c>
      <c r="AC20" s="13">
        <f t="shared" si="10"/>
        <v>474716944.01</v>
      </c>
      <c r="AD20" s="13">
        <f t="shared" si="10"/>
        <v>504279466.28</v>
      </c>
      <c r="AE20" s="15">
        <f t="shared" si="10"/>
        <v>535320761.04</v>
      </c>
    </row>
    <row r="21" spans="1:31" s="28" customFormat="1" ht="12">
      <c r="A21" s="33">
        <v>7</v>
      </c>
      <c r="B21" s="46" t="s">
        <v>23</v>
      </c>
      <c r="C21" s="16">
        <f>+C22+C23</f>
        <v>91459607.01</v>
      </c>
      <c r="D21" s="13">
        <f>+D22+D23</f>
        <v>80018855</v>
      </c>
      <c r="E21" s="13">
        <f>+E22+E23</f>
        <v>64680793.51</v>
      </c>
      <c r="F21" s="13">
        <f>+F22+F23</f>
        <v>45546477.74</v>
      </c>
      <c r="G21" s="14">
        <f>+G22+G23</f>
        <v>47469983.21</v>
      </c>
      <c r="H21" s="13">
        <f aca="true" t="shared" si="11" ref="H21:AE21">+H22+H23</f>
        <v>51702421.43</v>
      </c>
      <c r="I21" s="13">
        <f t="shared" si="11"/>
        <v>57129680.92</v>
      </c>
      <c r="J21" s="13">
        <f t="shared" si="11"/>
        <v>57357662.18</v>
      </c>
      <c r="K21" s="13">
        <f t="shared" si="11"/>
        <v>57598249.55</v>
      </c>
      <c r="L21" s="13">
        <f t="shared" si="11"/>
        <v>58854418.07</v>
      </c>
      <c r="M21" s="13">
        <f t="shared" si="11"/>
        <v>58078157.17</v>
      </c>
      <c r="N21" s="13">
        <f t="shared" si="11"/>
        <v>42377704.14</v>
      </c>
      <c r="O21" s="13">
        <f t="shared" si="11"/>
        <v>27035157.95</v>
      </c>
      <c r="P21" s="13">
        <f t="shared" si="11"/>
        <v>23218391.28</v>
      </c>
      <c r="Q21" s="13">
        <f t="shared" si="11"/>
        <v>22457188.87</v>
      </c>
      <c r="R21" s="13">
        <f t="shared" si="11"/>
        <v>19755738.58</v>
      </c>
      <c r="S21" s="13">
        <f t="shared" si="11"/>
        <v>15204425.27</v>
      </c>
      <c r="T21" s="13">
        <f t="shared" si="11"/>
        <v>14755312.43</v>
      </c>
      <c r="U21" s="13">
        <f t="shared" si="11"/>
        <v>14301631.86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0</v>
      </c>
      <c r="Z21" s="13">
        <f t="shared" si="11"/>
        <v>0</v>
      </c>
      <c r="AA21" s="14">
        <f t="shared" si="11"/>
        <v>0</v>
      </c>
      <c r="AB21" s="13">
        <f t="shared" si="11"/>
        <v>0</v>
      </c>
      <c r="AC21" s="13">
        <f t="shared" si="11"/>
        <v>0</v>
      </c>
      <c r="AD21" s="13">
        <f t="shared" si="11"/>
        <v>0</v>
      </c>
      <c r="AE21" s="15">
        <f t="shared" si="11"/>
        <v>0</v>
      </c>
    </row>
    <row r="22" spans="1:31" s="28" customFormat="1" ht="12">
      <c r="A22" s="33" t="s">
        <v>3</v>
      </c>
      <c r="B22" s="46" t="s">
        <v>29</v>
      </c>
      <c r="C22" s="16">
        <v>74465575.01</v>
      </c>
      <c r="D22" s="13">
        <v>61372143</v>
      </c>
      <c r="E22" s="13">
        <v>45000000</v>
      </c>
      <c r="F22" s="13">
        <v>27064516.13</v>
      </c>
      <c r="G22" s="14">
        <v>30729032.26</v>
      </c>
      <c r="H22" s="13">
        <v>35639117.54</v>
      </c>
      <c r="I22" s="13">
        <v>42732621.42</v>
      </c>
      <c r="J22" s="13">
        <v>44732621.42</v>
      </c>
      <c r="K22" s="13">
        <v>46732621.42</v>
      </c>
      <c r="L22" s="13">
        <v>49732621.42</v>
      </c>
      <c r="M22" s="13">
        <v>50732621.42</v>
      </c>
      <c r="N22" s="13">
        <v>36732621.42</v>
      </c>
      <c r="O22" s="13">
        <v>22732621.42</v>
      </c>
      <c r="P22" s="13">
        <v>19732621.42</v>
      </c>
      <c r="Q22" s="13">
        <v>19732621.42</v>
      </c>
      <c r="R22" s="13">
        <v>17732621.42</v>
      </c>
      <c r="S22" s="13">
        <v>13732621.42</v>
      </c>
      <c r="T22" s="13">
        <v>13732621.42</v>
      </c>
      <c r="U22" s="13">
        <v>13732621.42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4">
        <v>0</v>
      </c>
      <c r="AB22" s="13">
        <v>0</v>
      </c>
      <c r="AC22" s="13">
        <v>0</v>
      </c>
      <c r="AD22" s="13">
        <v>0</v>
      </c>
      <c r="AE22" s="15">
        <v>0</v>
      </c>
    </row>
    <row r="23" spans="1:31" s="28" customFormat="1" ht="12">
      <c r="A23" s="33" t="s">
        <v>4</v>
      </c>
      <c r="B23" s="46" t="s">
        <v>30</v>
      </c>
      <c r="C23" s="16">
        <v>16994032</v>
      </c>
      <c r="D23" s="13">
        <v>18646712</v>
      </c>
      <c r="E23" s="13">
        <v>19680793.51</v>
      </c>
      <c r="F23" s="13">
        <v>18481961.61</v>
      </c>
      <c r="G23" s="13">
        <v>16740950.95</v>
      </c>
      <c r="H23" s="13">
        <v>16063303.89</v>
      </c>
      <c r="I23" s="13">
        <v>14397059.5</v>
      </c>
      <c r="J23" s="13">
        <v>12625040.76</v>
      </c>
      <c r="K23" s="13">
        <v>10865628.13</v>
      </c>
      <c r="L23" s="13">
        <v>9121796.65</v>
      </c>
      <c r="M23" s="13">
        <v>7345535.75</v>
      </c>
      <c r="N23" s="13">
        <v>5645082.72</v>
      </c>
      <c r="O23" s="13">
        <v>4302536.53</v>
      </c>
      <c r="P23" s="13">
        <v>3485769.86</v>
      </c>
      <c r="Q23" s="13">
        <v>2724567.45</v>
      </c>
      <c r="R23" s="13">
        <v>2023117.16</v>
      </c>
      <c r="S23" s="13">
        <v>1471803.85</v>
      </c>
      <c r="T23" s="13">
        <v>1022691.01</v>
      </c>
      <c r="U23" s="13">
        <v>569010.44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  <c r="AB23" s="13">
        <v>0</v>
      </c>
      <c r="AC23" s="13">
        <v>0</v>
      </c>
      <c r="AD23" s="13">
        <v>0</v>
      </c>
      <c r="AE23" s="15">
        <v>0</v>
      </c>
    </row>
    <row r="24" spans="1:31" s="28" customFormat="1" ht="12">
      <c r="A24" s="33">
        <v>8</v>
      </c>
      <c r="B24" s="46" t="s">
        <v>9</v>
      </c>
      <c r="C24" s="16">
        <v>6000000</v>
      </c>
      <c r="D24" s="13">
        <v>5000000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3"/>
      <c r="AC24" s="13"/>
      <c r="AD24" s="13"/>
      <c r="AE24" s="15"/>
    </row>
    <row r="25" spans="1:31" s="28" customFormat="1" ht="12">
      <c r="A25" s="33">
        <v>9</v>
      </c>
      <c r="B25" s="46" t="s">
        <v>10</v>
      </c>
      <c r="C25" s="16">
        <f>+C20-C21-C24</f>
        <v>43743160.49</v>
      </c>
      <c r="D25" s="13">
        <f>+D20-D21-D24</f>
        <v>52769094</v>
      </c>
      <c r="E25" s="13">
        <f>+E20-E21-E24</f>
        <v>84264683.8</v>
      </c>
      <c r="F25" s="13">
        <f>+F20-F21-F24</f>
        <v>92829068.73</v>
      </c>
      <c r="G25" s="13">
        <f>+G20-G21-G24</f>
        <v>67408068.42</v>
      </c>
      <c r="H25" s="13">
        <f aca="true" t="shared" si="12" ref="H25:AE25">+H20-H21-H24</f>
        <v>64486245.02</v>
      </c>
      <c r="I25" s="13">
        <f t="shared" si="12"/>
        <v>66515842.1</v>
      </c>
      <c r="J25" s="13">
        <f t="shared" si="12"/>
        <v>69193560.63</v>
      </c>
      <c r="K25" s="13">
        <f t="shared" si="12"/>
        <v>71880560.83</v>
      </c>
      <c r="L25" s="13">
        <f t="shared" si="12"/>
        <v>73550290.47</v>
      </c>
      <c r="M25" s="13">
        <f t="shared" si="12"/>
        <v>87070591.07</v>
      </c>
      <c r="N25" s="13">
        <f t="shared" si="12"/>
        <v>116030600.59</v>
      </c>
      <c r="O25" s="13">
        <f t="shared" si="12"/>
        <v>145575112.06</v>
      </c>
      <c r="P25" s="13">
        <f t="shared" si="12"/>
        <v>164521661.63</v>
      </c>
      <c r="Q25" s="13">
        <f t="shared" si="12"/>
        <v>181386050.35</v>
      </c>
      <c r="R25" s="13">
        <f t="shared" si="12"/>
        <v>200762881.06</v>
      </c>
      <c r="S25" s="13">
        <f t="shared" si="12"/>
        <v>223021272.6</v>
      </c>
      <c r="T25" s="13">
        <f t="shared" si="12"/>
        <v>242231773.11</v>
      </c>
      <c r="U25" s="13">
        <f t="shared" si="12"/>
        <v>262549060.12</v>
      </c>
      <c r="V25" s="13">
        <f t="shared" si="12"/>
        <v>297867811.6</v>
      </c>
      <c r="W25" s="13">
        <f t="shared" si="12"/>
        <v>320092013.71</v>
      </c>
      <c r="X25" s="13">
        <f t="shared" si="12"/>
        <v>343002275.67</v>
      </c>
      <c r="Y25" s="13">
        <f t="shared" si="12"/>
        <v>367071477.96</v>
      </c>
      <c r="Z25" s="13">
        <f t="shared" si="12"/>
        <v>392430771.67</v>
      </c>
      <c r="AA25" s="14">
        <f t="shared" si="12"/>
        <v>418486336.41</v>
      </c>
      <c r="AB25" s="13">
        <f t="shared" si="12"/>
        <v>445895520.8</v>
      </c>
      <c r="AC25" s="13">
        <f t="shared" si="12"/>
        <v>474716944.01</v>
      </c>
      <c r="AD25" s="13">
        <f t="shared" si="12"/>
        <v>504279466.28</v>
      </c>
      <c r="AE25" s="15">
        <f t="shared" si="12"/>
        <v>535320761.04</v>
      </c>
    </row>
    <row r="26" spans="1:31" s="28" customFormat="1" ht="12">
      <c r="A26" s="33">
        <v>10</v>
      </c>
      <c r="B26" s="45" t="s">
        <v>77</v>
      </c>
      <c r="C26" s="16">
        <v>100495614.16</v>
      </c>
      <c r="D26" s="13">
        <v>139120102</v>
      </c>
      <c r="E26" s="13">
        <f>146219626.06-15000000+20000000+10685775.6+7007282</f>
        <v>168912683.66</v>
      </c>
      <c r="F26" s="13">
        <f>84140125.89-14355300+17500000+5544242.84</f>
        <v>92829068.73</v>
      </c>
      <c r="G26" s="13">
        <f>90182459.79-2774391.37</f>
        <v>87408068.42</v>
      </c>
      <c r="H26" s="13">
        <f>83293793.9-8807548.88</f>
        <v>74486245.02</v>
      </c>
      <c r="I26" s="13">
        <f>86434138.85-9918296.75</f>
        <v>76515842.1</v>
      </c>
      <c r="J26" s="13">
        <f>89534006.27-10340445.64</f>
        <v>79193560.63</v>
      </c>
      <c r="K26" s="13">
        <f>94657552-10776991.17</f>
        <v>83880560.83</v>
      </c>
      <c r="L26" s="13">
        <f>96778443.52-11228153.05</f>
        <v>85550290.47</v>
      </c>
      <c r="M26" s="13">
        <f>97878517.81-807926.74</f>
        <v>97070591.07</v>
      </c>
      <c r="N26" s="13">
        <f>105975138.61+10055461.98</f>
        <v>116030600.59</v>
      </c>
      <c r="O26" s="13">
        <f>123659391.67+21915720.39</f>
        <v>145575112.06</v>
      </c>
      <c r="P26" s="13">
        <f>129888061.3+34633600.33</f>
        <v>164521661.63</v>
      </c>
      <c r="Q26" s="13">
        <f>133132536.19+48253514.16</f>
        <v>181386050.35</v>
      </c>
      <c r="R26" s="13">
        <f>138389840.78+62373040.28</f>
        <v>200762881.06</v>
      </c>
      <c r="S26" s="13">
        <f>145570841.99+77450430.61</f>
        <v>223021272.6</v>
      </c>
      <c r="T26" s="13">
        <f>148584225.12+93647547.99</f>
        <v>242231773.11</v>
      </c>
      <c r="U26" s="13">
        <f>151673364.91+110875695.21</f>
        <v>262549060.12</v>
      </c>
      <c r="V26" s="13">
        <f>168682797.33+129185014.27</f>
        <v>297867811.6</v>
      </c>
      <c r="W26" s="13">
        <f>171464128.67+148627885.04</f>
        <v>320092013.71</v>
      </c>
      <c r="X26" s="13">
        <f>174320217.59+168682058.08</f>
        <v>343002275.67</v>
      </c>
      <c r="Y26" s="13">
        <f>177098240.82+189973237.14</f>
        <v>367071477.96</v>
      </c>
      <c r="Z26" s="13">
        <f>179947879.47+212482892.2</f>
        <v>392430771.67</v>
      </c>
      <c r="AA26" s="14">
        <f>182870252.44+235616083.97</f>
        <v>418486336.41</v>
      </c>
      <c r="AB26" s="13">
        <f>185866513.28+260029007.52</f>
        <v>445895520.8</v>
      </c>
      <c r="AC26" s="13">
        <f>188937850.58+285779093.43</f>
        <v>474716944.01</v>
      </c>
      <c r="AD26" s="13">
        <f>192085488.52+312193977.76</f>
        <v>504279466.28</v>
      </c>
      <c r="AE26" s="15">
        <f>195310687.08+340010073.96</f>
        <v>535320761.04</v>
      </c>
    </row>
    <row r="27" spans="1:31" s="28" customFormat="1" ht="15.75" customHeight="1">
      <c r="A27" s="33" t="s">
        <v>3</v>
      </c>
      <c r="B27" s="48" t="s">
        <v>31</v>
      </c>
      <c r="C27" s="16">
        <v>41102641</v>
      </c>
      <c r="D27" s="13">
        <v>107719599</v>
      </c>
      <c r="E27" s="13">
        <v>168383777</v>
      </c>
      <c r="F27" s="13">
        <v>92777441</v>
      </c>
      <c r="G27" s="13">
        <v>3000000</v>
      </c>
      <c r="H27" s="13">
        <v>3000000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  <c r="AB27" s="13">
        <v>0</v>
      </c>
      <c r="AC27" s="13">
        <v>0</v>
      </c>
      <c r="AD27" s="13">
        <v>0</v>
      </c>
      <c r="AE27" s="15">
        <v>0</v>
      </c>
    </row>
    <row r="28" spans="1:31" s="28" customFormat="1" ht="12">
      <c r="A28" s="33">
        <v>11</v>
      </c>
      <c r="B28" s="45" t="s">
        <v>68</v>
      </c>
      <c r="C28" s="16">
        <f>74000000</f>
        <v>74000000</v>
      </c>
      <c r="D28" s="13">
        <v>86351008</v>
      </c>
      <c r="E28" s="13">
        <v>84647999.86</v>
      </c>
      <c r="F28" s="13">
        <v>0</v>
      </c>
      <c r="G28" s="13">
        <v>20000000</v>
      </c>
      <c r="H28" s="13">
        <v>10000000</v>
      </c>
      <c r="I28" s="13">
        <v>10000000</v>
      </c>
      <c r="J28" s="13">
        <v>10000000</v>
      </c>
      <c r="K28" s="13">
        <v>12000000</v>
      </c>
      <c r="L28" s="13">
        <v>12000000</v>
      </c>
      <c r="M28" s="13">
        <v>10000000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5">
        <v>0</v>
      </c>
      <c r="AA28" s="16">
        <v>0</v>
      </c>
      <c r="AB28" s="13">
        <v>0</v>
      </c>
      <c r="AC28" s="13">
        <v>0</v>
      </c>
      <c r="AD28" s="13">
        <v>0</v>
      </c>
      <c r="AE28" s="15">
        <v>0</v>
      </c>
    </row>
    <row r="29" spans="1:31" s="28" customFormat="1" ht="12">
      <c r="A29" s="33">
        <v>12</v>
      </c>
      <c r="B29" s="45" t="s">
        <v>69</v>
      </c>
      <c r="C29" s="16">
        <f>+C25-C26+C28</f>
        <v>17247546.33</v>
      </c>
      <c r="D29" s="13">
        <f>+D25-D26+D28</f>
        <v>0</v>
      </c>
      <c r="E29" s="13">
        <f>+E25-E26+E28</f>
        <v>0</v>
      </c>
      <c r="F29" s="13">
        <f>+F25-F26+F28</f>
        <v>0</v>
      </c>
      <c r="G29" s="13">
        <f>+G25-G26+G28</f>
        <v>0</v>
      </c>
      <c r="H29" s="13">
        <f aca="true" t="shared" si="13" ref="H29:AE29">+H25-H26+H28</f>
        <v>0</v>
      </c>
      <c r="I29" s="13">
        <f t="shared" si="13"/>
        <v>0</v>
      </c>
      <c r="J29" s="13">
        <f t="shared" si="13"/>
        <v>0</v>
      </c>
      <c r="K29" s="13">
        <f t="shared" si="13"/>
        <v>0</v>
      </c>
      <c r="L29" s="13">
        <f t="shared" si="13"/>
        <v>0</v>
      </c>
      <c r="M29" s="13">
        <f t="shared" si="13"/>
        <v>0</v>
      </c>
      <c r="N29" s="13">
        <f t="shared" si="13"/>
        <v>0</v>
      </c>
      <c r="O29" s="13">
        <f t="shared" si="13"/>
        <v>0</v>
      </c>
      <c r="P29" s="13">
        <f t="shared" si="13"/>
        <v>0</v>
      </c>
      <c r="Q29" s="13">
        <f t="shared" si="13"/>
        <v>0</v>
      </c>
      <c r="R29" s="13">
        <f t="shared" si="13"/>
        <v>0</v>
      </c>
      <c r="S29" s="13">
        <f t="shared" si="13"/>
        <v>0</v>
      </c>
      <c r="T29" s="13">
        <f t="shared" si="13"/>
        <v>0</v>
      </c>
      <c r="U29" s="13">
        <f t="shared" si="13"/>
        <v>0</v>
      </c>
      <c r="V29" s="13">
        <f t="shared" si="13"/>
        <v>0</v>
      </c>
      <c r="W29" s="13">
        <f t="shared" si="13"/>
        <v>0</v>
      </c>
      <c r="X29" s="13">
        <f t="shared" si="13"/>
        <v>0</v>
      </c>
      <c r="Y29" s="13">
        <f t="shared" si="13"/>
        <v>0</v>
      </c>
      <c r="Z29" s="13">
        <f t="shared" si="13"/>
        <v>0</v>
      </c>
      <c r="AA29" s="14">
        <f t="shared" si="13"/>
        <v>0</v>
      </c>
      <c r="AB29" s="13">
        <f t="shared" si="13"/>
        <v>0</v>
      </c>
      <c r="AC29" s="13">
        <f t="shared" si="13"/>
        <v>0</v>
      </c>
      <c r="AD29" s="13">
        <f t="shared" si="13"/>
        <v>0</v>
      </c>
      <c r="AE29" s="15">
        <f t="shared" si="13"/>
        <v>0</v>
      </c>
    </row>
    <row r="30" spans="1:31" s="28" customFormat="1" ht="12">
      <c r="A30" s="33">
        <v>13</v>
      </c>
      <c r="B30" s="45" t="s">
        <v>78</v>
      </c>
      <c r="C30" s="16">
        <v>337715394.53</v>
      </c>
      <c r="D30" s="13">
        <f>C30+D28-D22-385515+133384</f>
        <v>362442128.53</v>
      </c>
      <c r="E30" s="13">
        <f>D30+E28-E22-133384</f>
        <v>401956744.39</v>
      </c>
      <c r="F30" s="13">
        <f aca="true" t="shared" si="14" ref="F30:AE30">E30+F28-F22</f>
        <v>374892228.26</v>
      </c>
      <c r="G30" s="13">
        <f t="shared" si="14"/>
        <v>364163196</v>
      </c>
      <c r="H30" s="13">
        <f t="shared" si="14"/>
        <v>338524078.46</v>
      </c>
      <c r="I30" s="13">
        <f t="shared" si="14"/>
        <v>305791457.04</v>
      </c>
      <c r="J30" s="13">
        <f t="shared" si="14"/>
        <v>271058835.62</v>
      </c>
      <c r="K30" s="13">
        <f t="shared" si="14"/>
        <v>236326214.2</v>
      </c>
      <c r="L30" s="13">
        <f t="shared" si="14"/>
        <v>198593592.78</v>
      </c>
      <c r="M30" s="13">
        <f t="shared" si="14"/>
        <v>157860971.36</v>
      </c>
      <c r="N30" s="13">
        <f t="shared" si="14"/>
        <v>121128349.94</v>
      </c>
      <c r="O30" s="13">
        <f t="shared" si="14"/>
        <v>98395728.52</v>
      </c>
      <c r="P30" s="13">
        <f t="shared" si="14"/>
        <v>78663107.1</v>
      </c>
      <c r="Q30" s="13">
        <f t="shared" si="14"/>
        <v>58930485.68</v>
      </c>
      <c r="R30" s="13">
        <f t="shared" si="14"/>
        <v>41197864.26</v>
      </c>
      <c r="S30" s="13">
        <f t="shared" si="14"/>
        <v>27465242.84</v>
      </c>
      <c r="T30" s="13">
        <f t="shared" si="14"/>
        <v>13732621.42</v>
      </c>
      <c r="U30" s="13">
        <f t="shared" si="14"/>
        <v>0</v>
      </c>
      <c r="V30" s="13">
        <f t="shared" si="14"/>
        <v>0</v>
      </c>
      <c r="W30" s="13">
        <f t="shared" si="14"/>
        <v>0</v>
      </c>
      <c r="X30" s="13">
        <f t="shared" si="14"/>
        <v>0</v>
      </c>
      <c r="Y30" s="13">
        <f t="shared" si="14"/>
        <v>0</v>
      </c>
      <c r="Z30" s="13">
        <f t="shared" si="14"/>
        <v>0</v>
      </c>
      <c r="AA30" s="14">
        <f t="shared" si="14"/>
        <v>0</v>
      </c>
      <c r="AB30" s="13">
        <f t="shared" si="14"/>
        <v>0</v>
      </c>
      <c r="AC30" s="13">
        <f t="shared" si="14"/>
        <v>0</v>
      </c>
      <c r="AD30" s="13">
        <f t="shared" si="14"/>
        <v>0</v>
      </c>
      <c r="AE30" s="15">
        <f t="shared" si="14"/>
        <v>0</v>
      </c>
    </row>
    <row r="31" spans="1:31" s="28" customFormat="1" ht="12" customHeight="1">
      <c r="A31" s="33" t="s">
        <v>3</v>
      </c>
      <c r="B31" s="45" t="s">
        <v>70</v>
      </c>
      <c r="C31" s="16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  <c r="AB31" s="13">
        <v>0</v>
      </c>
      <c r="AC31" s="13">
        <v>0</v>
      </c>
      <c r="AD31" s="13">
        <v>0</v>
      </c>
      <c r="AE31" s="15">
        <v>0</v>
      </c>
    </row>
    <row r="32" spans="1:31" s="28" customFormat="1" ht="24">
      <c r="A32" s="34" t="s">
        <v>4</v>
      </c>
      <c r="B32" s="45" t="s">
        <v>32</v>
      </c>
      <c r="C32" s="16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4">
        <v>0</v>
      </c>
      <c r="AB32" s="13">
        <v>0</v>
      </c>
      <c r="AC32" s="13">
        <v>0</v>
      </c>
      <c r="AD32" s="13">
        <v>0</v>
      </c>
      <c r="AE32" s="15">
        <v>0</v>
      </c>
    </row>
    <row r="33" spans="1:31" s="28" customFormat="1" ht="36">
      <c r="A33" s="33">
        <v>14</v>
      </c>
      <c r="B33" s="45" t="s">
        <v>71</v>
      </c>
      <c r="C33" s="16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5">
        <v>0</v>
      </c>
    </row>
    <row r="34" spans="1:31" s="12" customFormat="1" ht="12">
      <c r="A34" s="33" t="s">
        <v>11</v>
      </c>
      <c r="B34" s="45" t="s">
        <v>72</v>
      </c>
      <c r="C34" s="38">
        <f>(C22+C23+C13)/C6</f>
        <v>0.1041</v>
      </c>
      <c r="D34" s="24">
        <f aca="true" t="shared" si="15" ref="D34:AE34">(D22+D23+D13)/D6</f>
        <v>0.0908</v>
      </c>
      <c r="E34" s="24">
        <f t="shared" si="15"/>
        <v>0.0721</v>
      </c>
      <c r="F34" s="24">
        <f t="shared" si="15"/>
        <v>0.0505</v>
      </c>
      <c r="G34" s="24">
        <f t="shared" si="15"/>
        <v>0.0523</v>
      </c>
      <c r="H34" s="24">
        <f t="shared" si="15"/>
        <v>0.055</v>
      </c>
      <c r="I34" s="24">
        <f>(I22+I23+I13)/I6</f>
        <v>0.0583</v>
      </c>
      <c r="J34" s="24">
        <f t="shared" si="15"/>
        <v>0.0567</v>
      </c>
      <c r="K34" s="24">
        <f t="shared" si="15"/>
        <v>0.055</v>
      </c>
      <c r="L34" s="24">
        <f t="shared" si="15"/>
        <v>0.0543</v>
      </c>
      <c r="M34" s="24">
        <f t="shared" si="15"/>
        <v>0.0518</v>
      </c>
      <c r="N34" s="24">
        <f t="shared" si="15"/>
        <v>0.0369</v>
      </c>
      <c r="O34" s="24">
        <f t="shared" si="15"/>
        <v>0.0231</v>
      </c>
      <c r="P34" s="24">
        <f>(P22+P23+P13)/P6</f>
        <v>0.0192</v>
      </c>
      <c r="Q34" s="24">
        <f t="shared" si="15"/>
        <v>0.0179</v>
      </c>
      <c r="R34" s="24">
        <f t="shared" si="15"/>
        <v>0.0152</v>
      </c>
      <c r="S34" s="24">
        <f t="shared" si="15"/>
        <v>0.0113</v>
      </c>
      <c r="T34" s="24">
        <f t="shared" si="15"/>
        <v>0.0105</v>
      </c>
      <c r="U34" s="24">
        <f t="shared" si="15"/>
        <v>0.0098</v>
      </c>
      <c r="V34" s="24">
        <f t="shared" si="15"/>
        <v>0.0002</v>
      </c>
      <c r="W34" s="24">
        <f t="shared" si="15"/>
        <v>0.0002</v>
      </c>
      <c r="X34" s="24">
        <f t="shared" si="15"/>
        <v>0.0002</v>
      </c>
      <c r="Y34" s="24">
        <f t="shared" si="15"/>
        <v>0.0002</v>
      </c>
      <c r="Z34" s="24">
        <f t="shared" si="15"/>
        <v>0.0001</v>
      </c>
      <c r="AA34" s="24">
        <f t="shared" si="15"/>
        <v>0</v>
      </c>
      <c r="AB34" s="24">
        <f t="shared" si="15"/>
        <v>0</v>
      </c>
      <c r="AC34" s="24">
        <f t="shared" si="15"/>
        <v>0</v>
      </c>
      <c r="AD34" s="24">
        <f t="shared" si="15"/>
        <v>0</v>
      </c>
      <c r="AE34" s="22">
        <f t="shared" si="15"/>
        <v>0</v>
      </c>
    </row>
    <row r="35" spans="1:31" s="12" customFormat="1" ht="12">
      <c r="A35" s="33" t="s">
        <v>3</v>
      </c>
      <c r="B35" s="45" t="s">
        <v>73</v>
      </c>
      <c r="C35" s="38">
        <v>0.083</v>
      </c>
      <c r="D35" s="24">
        <f>((C7+C9-C10-C23)/C6+0.0375+0.076)/3</f>
        <v>0.0577</v>
      </c>
      <c r="E35" s="24">
        <f>((D7+D9-D10-D23)/D6+(C7+C9-C10-C23)/C6+0.0375)/3</f>
        <v>0.0444</v>
      </c>
      <c r="F35" s="24">
        <f>((E7+E9-E10-E23)/E6+(D7+D9-D10-D23)/D6+(C7+C9-C10-C23)/C6)/3</f>
        <v>0.0507</v>
      </c>
      <c r="G35" s="24">
        <f aca="true" t="shared" si="16" ref="G35:AE35">((F7+F9-F10-F23)/F6+(E7+E9-E10-E23)/E6+(D7+D9-D10-D23)/D6)/3</f>
        <v>0.053</v>
      </c>
      <c r="H35" s="24">
        <f t="shared" si="16"/>
        <v>0.0663</v>
      </c>
      <c r="I35" s="24">
        <f t="shared" si="16"/>
        <v>0.0748</v>
      </c>
      <c r="J35" s="24">
        <f t="shared" si="16"/>
        <v>0.0819</v>
      </c>
      <c r="K35" s="24">
        <f t="shared" si="16"/>
        <v>0.0863</v>
      </c>
      <c r="L35" s="24">
        <f t="shared" si="16"/>
        <v>0.0894</v>
      </c>
      <c r="M35" s="24">
        <f t="shared" si="16"/>
        <v>0.0909</v>
      </c>
      <c r="N35" s="24">
        <f t="shared" si="16"/>
        <v>0.0951</v>
      </c>
      <c r="O35" s="24">
        <f t="shared" si="16"/>
        <v>0.1018</v>
      </c>
      <c r="P35" s="24">
        <f>((O7+O9-O10-O23)/O6+(N7+N9-N10-N23)/N6+(M7+M9-M10-M23)/M6)/3</f>
        <v>0.1112</v>
      </c>
      <c r="Q35" s="24">
        <f t="shared" si="16"/>
        <v>0.1204</v>
      </c>
      <c r="R35" s="24">
        <f t="shared" si="16"/>
        <v>0.1293</v>
      </c>
      <c r="S35" s="24">
        <f t="shared" si="16"/>
        <v>0.1381</v>
      </c>
      <c r="T35" s="24">
        <f t="shared" si="16"/>
        <v>0.1467</v>
      </c>
      <c r="U35" s="24">
        <f t="shared" si="16"/>
        <v>0.1553</v>
      </c>
      <c r="V35" s="24">
        <f t="shared" si="16"/>
        <v>0.1638</v>
      </c>
      <c r="W35" s="24">
        <f t="shared" si="16"/>
        <v>0.1725</v>
      </c>
      <c r="X35" s="24">
        <f t="shared" si="16"/>
        <v>0.181</v>
      </c>
      <c r="Y35" s="24">
        <f t="shared" si="16"/>
        <v>0.1895</v>
      </c>
      <c r="Z35" s="24">
        <f t="shared" si="16"/>
        <v>0.1977</v>
      </c>
      <c r="AA35" s="24">
        <f t="shared" si="16"/>
        <v>0.206</v>
      </c>
      <c r="AB35" s="24">
        <f t="shared" si="16"/>
        <v>0.2142</v>
      </c>
      <c r="AC35" s="24">
        <f t="shared" si="16"/>
        <v>0.2224</v>
      </c>
      <c r="AD35" s="24">
        <f t="shared" si="16"/>
        <v>0.2304</v>
      </c>
      <c r="AE35" s="22">
        <f t="shared" si="16"/>
        <v>0.2384</v>
      </c>
    </row>
    <row r="36" spans="1:31" s="44" customFormat="1" ht="37.5" customHeight="1">
      <c r="A36" s="33">
        <v>16</v>
      </c>
      <c r="B36" s="45" t="s">
        <v>74</v>
      </c>
      <c r="C36" s="40" t="s">
        <v>83</v>
      </c>
      <c r="D36" s="41" t="s">
        <v>83</v>
      </c>
      <c r="E36" s="41" t="s">
        <v>83</v>
      </c>
      <c r="F36" s="42" t="s">
        <v>84</v>
      </c>
      <c r="G36" s="42" t="s">
        <v>84</v>
      </c>
      <c r="H36" s="42" t="s">
        <v>84</v>
      </c>
      <c r="I36" s="42" t="s">
        <v>84</v>
      </c>
      <c r="J36" s="42" t="s">
        <v>84</v>
      </c>
      <c r="K36" s="42" t="s">
        <v>84</v>
      </c>
      <c r="L36" s="42" t="s">
        <v>84</v>
      </c>
      <c r="M36" s="42" t="s">
        <v>84</v>
      </c>
      <c r="N36" s="42" t="s">
        <v>84</v>
      </c>
      <c r="O36" s="42" t="s">
        <v>84</v>
      </c>
      <c r="P36" s="42" t="s">
        <v>84</v>
      </c>
      <c r="Q36" s="42" t="s">
        <v>84</v>
      </c>
      <c r="R36" s="42" t="s">
        <v>84</v>
      </c>
      <c r="S36" s="42" t="s">
        <v>84</v>
      </c>
      <c r="T36" s="42" t="s">
        <v>84</v>
      </c>
      <c r="U36" s="42" t="s">
        <v>84</v>
      </c>
      <c r="V36" s="42" t="s">
        <v>84</v>
      </c>
      <c r="W36" s="42" t="s">
        <v>84</v>
      </c>
      <c r="X36" s="42" t="s">
        <v>84</v>
      </c>
      <c r="Y36" s="42" t="s">
        <v>84</v>
      </c>
      <c r="Z36" s="42" t="s">
        <v>84</v>
      </c>
      <c r="AA36" s="42" t="s">
        <v>84</v>
      </c>
      <c r="AB36" s="42" t="s">
        <v>84</v>
      </c>
      <c r="AC36" s="42" t="s">
        <v>84</v>
      </c>
      <c r="AD36" s="42" t="s">
        <v>84</v>
      </c>
      <c r="AE36" s="43" t="s">
        <v>84</v>
      </c>
    </row>
    <row r="37" spans="1:31" s="19" customFormat="1" ht="24">
      <c r="A37" s="33">
        <v>17</v>
      </c>
      <c r="B37" s="45" t="s">
        <v>76</v>
      </c>
      <c r="C37" s="39">
        <f aca="true" t="shared" si="17" ref="C37:AE37">+(C21-C31+C13-C14)/C6</f>
        <v>0.1041</v>
      </c>
      <c r="D37" s="17">
        <f t="shared" si="17"/>
        <v>0.0908</v>
      </c>
      <c r="E37" s="17">
        <f t="shared" si="17"/>
        <v>0.0721</v>
      </c>
      <c r="F37" s="17">
        <f t="shared" si="17"/>
        <v>0.0505</v>
      </c>
      <c r="G37" s="17">
        <f t="shared" si="17"/>
        <v>0.0523</v>
      </c>
      <c r="H37" s="17">
        <f t="shared" si="17"/>
        <v>0.055</v>
      </c>
      <c r="I37" s="17">
        <f t="shared" si="17"/>
        <v>0.0583</v>
      </c>
      <c r="J37" s="17">
        <f t="shared" si="17"/>
        <v>0.0567</v>
      </c>
      <c r="K37" s="17">
        <f t="shared" si="17"/>
        <v>0.055</v>
      </c>
      <c r="L37" s="17">
        <f t="shared" si="17"/>
        <v>0.0543</v>
      </c>
      <c r="M37" s="17">
        <f t="shared" si="17"/>
        <v>0.0518</v>
      </c>
      <c r="N37" s="17">
        <f t="shared" si="17"/>
        <v>0.0369</v>
      </c>
      <c r="O37" s="17">
        <f t="shared" si="17"/>
        <v>0.0231</v>
      </c>
      <c r="P37" s="17">
        <f t="shared" si="17"/>
        <v>0.0192</v>
      </c>
      <c r="Q37" s="17">
        <f t="shared" si="17"/>
        <v>0.0179</v>
      </c>
      <c r="R37" s="17">
        <f t="shared" si="17"/>
        <v>0.0152</v>
      </c>
      <c r="S37" s="17">
        <f t="shared" si="17"/>
        <v>0.0113</v>
      </c>
      <c r="T37" s="17">
        <f t="shared" si="17"/>
        <v>0.0105</v>
      </c>
      <c r="U37" s="17">
        <f t="shared" si="17"/>
        <v>0.0098</v>
      </c>
      <c r="V37" s="17">
        <f t="shared" si="17"/>
        <v>0.0002</v>
      </c>
      <c r="W37" s="17">
        <f t="shared" si="17"/>
        <v>0.0002</v>
      </c>
      <c r="X37" s="17">
        <f t="shared" si="17"/>
        <v>0.0002</v>
      </c>
      <c r="Y37" s="17">
        <f t="shared" si="17"/>
        <v>0.0002</v>
      </c>
      <c r="Z37" s="17">
        <f t="shared" si="17"/>
        <v>0.0001</v>
      </c>
      <c r="AA37" s="17">
        <f t="shared" si="17"/>
        <v>0</v>
      </c>
      <c r="AB37" s="17">
        <f t="shared" si="17"/>
        <v>0</v>
      </c>
      <c r="AC37" s="17">
        <f t="shared" si="17"/>
        <v>0</v>
      </c>
      <c r="AD37" s="17">
        <f t="shared" si="17"/>
        <v>0</v>
      </c>
      <c r="AE37" s="18">
        <f t="shared" si="17"/>
        <v>0</v>
      </c>
    </row>
    <row r="38" spans="1:31" s="19" customFormat="1" ht="12">
      <c r="A38" s="33">
        <v>18</v>
      </c>
      <c r="B38" s="45" t="s">
        <v>75</v>
      </c>
      <c r="C38" s="39">
        <f aca="true" t="shared" si="18" ref="C38:AE38">+(C30-C31)/C6</f>
        <v>0.3844</v>
      </c>
      <c r="D38" s="17">
        <f>+(D30-D31)/D6</f>
        <v>0.4014</v>
      </c>
      <c r="E38" s="17">
        <f t="shared" si="18"/>
        <v>0.4345</v>
      </c>
      <c r="F38" s="17">
        <f t="shared" si="18"/>
        <v>0.3981</v>
      </c>
      <c r="G38" s="17">
        <f t="shared" si="18"/>
        <v>0.3848</v>
      </c>
      <c r="H38" s="17">
        <f t="shared" si="18"/>
        <v>0.3466</v>
      </c>
      <c r="I38" s="17">
        <f t="shared" si="18"/>
        <v>0.3015</v>
      </c>
      <c r="J38" s="17">
        <f t="shared" si="18"/>
        <v>0.2588</v>
      </c>
      <c r="K38" s="17">
        <f t="shared" si="18"/>
        <v>0.2185</v>
      </c>
      <c r="L38" s="17">
        <f t="shared" si="18"/>
        <v>0.1778</v>
      </c>
      <c r="M38" s="17">
        <f t="shared" si="18"/>
        <v>0.1369</v>
      </c>
      <c r="N38" s="17">
        <f t="shared" si="18"/>
        <v>0.1017</v>
      </c>
      <c r="O38" s="17">
        <f t="shared" si="18"/>
        <v>0.0801</v>
      </c>
      <c r="P38" s="17">
        <f t="shared" si="18"/>
        <v>0.062</v>
      </c>
      <c r="Q38" s="17">
        <f t="shared" si="18"/>
        <v>0.045</v>
      </c>
      <c r="R38" s="17">
        <f t="shared" si="18"/>
        <v>0.0305</v>
      </c>
      <c r="S38" s="17">
        <f t="shared" si="18"/>
        <v>0.0197</v>
      </c>
      <c r="T38" s="17">
        <f t="shared" si="18"/>
        <v>0.0095</v>
      </c>
      <c r="U38" s="17">
        <f t="shared" si="18"/>
        <v>0</v>
      </c>
      <c r="V38" s="17">
        <f t="shared" si="18"/>
        <v>0</v>
      </c>
      <c r="W38" s="17">
        <f t="shared" si="18"/>
        <v>0</v>
      </c>
      <c r="X38" s="17">
        <f t="shared" si="18"/>
        <v>0</v>
      </c>
      <c r="Y38" s="17">
        <f t="shared" si="18"/>
        <v>0</v>
      </c>
      <c r="Z38" s="17">
        <f t="shared" si="18"/>
        <v>0</v>
      </c>
      <c r="AA38" s="17">
        <f t="shared" si="18"/>
        <v>0</v>
      </c>
      <c r="AB38" s="17">
        <f t="shared" si="18"/>
        <v>0</v>
      </c>
      <c r="AC38" s="17">
        <f t="shared" si="18"/>
        <v>0</v>
      </c>
      <c r="AD38" s="17">
        <f t="shared" si="18"/>
        <v>0</v>
      </c>
      <c r="AE38" s="18">
        <f t="shared" si="18"/>
        <v>0</v>
      </c>
    </row>
    <row r="39" spans="1:31" s="28" customFormat="1" ht="12">
      <c r="A39" s="33">
        <v>19</v>
      </c>
      <c r="B39" s="46" t="s">
        <v>12</v>
      </c>
      <c r="C39" s="16">
        <f>+C10+C23</f>
        <v>763085712.28</v>
      </c>
      <c r="D39" s="13">
        <f>+D10+D23</f>
        <v>805160879</v>
      </c>
      <c r="E39" s="13">
        <f>+E10+E23</f>
        <v>795784368.46</v>
      </c>
      <c r="F39" s="13">
        <f>+F10+F23</f>
        <v>821749161.68</v>
      </c>
      <c r="G39" s="13">
        <f>+G10+G23</f>
        <v>848122503.02</v>
      </c>
      <c r="H39" s="13">
        <f aca="true" t="shared" si="19" ref="H39:AE39">+H10+H23</f>
        <v>876543210.28</v>
      </c>
      <c r="I39" s="13">
        <f t="shared" si="19"/>
        <v>904993762.61</v>
      </c>
      <c r="J39" s="13">
        <f t="shared" si="19"/>
        <v>933502031.78</v>
      </c>
      <c r="K39" s="13">
        <f t="shared" si="19"/>
        <v>963052436.84</v>
      </c>
      <c r="L39" s="13">
        <f t="shared" si="19"/>
        <v>993682956.86</v>
      </c>
      <c r="M39" s="13">
        <f t="shared" si="19"/>
        <v>1015536163.81</v>
      </c>
      <c r="N39" s="13">
        <f t="shared" si="19"/>
        <v>1038032285.85</v>
      </c>
      <c r="O39" s="13">
        <f t="shared" si="19"/>
        <v>1060434645.33</v>
      </c>
      <c r="P39" s="13">
        <f t="shared" si="19"/>
        <v>1083908917.16</v>
      </c>
      <c r="Q39" s="13">
        <f t="shared" si="19"/>
        <v>1107997447.14</v>
      </c>
      <c r="R39" s="13">
        <f t="shared" si="19"/>
        <v>1132717273.08</v>
      </c>
      <c r="S39" s="13">
        <f t="shared" si="19"/>
        <v>1158171925.36</v>
      </c>
      <c r="T39" s="13">
        <f t="shared" si="19"/>
        <v>1183170215.19</v>
      </c>
      <c r="U39" s="13">
        <f t="shared" si="19"/>
        <v>1208723780.15</v>
      </c>
      <c r="V39" s="13">
        <f t="shared" si="19"/>
        <v>1234734174.64</v>
      </c>
      <c r="W39" s="13">
        <f t="shared" si="19"/>
        <v>1261898326.48</v>
      </c>
      <c r="X39" s="13">
        <f t="shared" si="19"/>
        <v>1289660089.66</v>
      </c>
      <c r="Y39" s="13">
        <f t="shared" si="19"/>
        <v>1316742951.54</v>
      </c>
      <c r="Z39" s="13">
        <f t="shared" si="19"/>
        <v>1344394553.52</v>
      </c>
      <c r="AA39" s="13">
        <f t="shared" si="19"/>
        <v>1372626839.14</v>
      </c>
      <c r="AB39" s="13">
        <f t="shared" si="19"/>
        <v>1401452002.76</v>
      </c>
      <c r="AC39" s="13">
        <f t="shared" si="19"/>
        <v>1430882494.82</v>
      </c>
      <c r="AD39" s="13">
        <f t="shared" si="19"/>
        <v>1460931027.21</v>
      </c>
      <c r="AE39" s="15">
        <f t="shared" si="19"/>
        <v>1491610578.78</v>
      </c>
    </row>
    <row r="40" spans="1:31" s="28" customFormat="1" ht="12">
      <c r="A40" s="33">
        <v>20</v>
      </c>
      <c r="B40" s="46" t="s">
        <v>13</v>
      </c>
      <c r="C40" s="16">
        <f>+C26+C39</f>
        <v>863581326.44</v>
      </c>
      <c r="D40" s="13">
        <f aca="true" t="shared" si="20" ref="D40:AE40">+D26+D39</f>
        <v>944280981</v>
      </c>
      <c r="E40" s="13">
        <f t="shared" si="20"/>
        <v>964697052.12</v>
      </c>
      <c r="F40" s="13">
        <f t="shared" si="20"/>
        <v>914578230.41</v>
      </c>
      <c r="G40" s="13">
        <f t="shared" si="20"/>
        <v>935530571.44</v>
      </c>
      <c r="H40" s="13">
        <f t="shared" si="20"/>
        <v>951029455.3</v>
      </c>
      <c r="I40" s="13">
        <f t="shared" si="20"/>
        <v>981509604.71</v>
      </c>
      <c r="J40" s="13">
        <f t="shared" si="20"/>
        <v>1012695592.41</v>
      </c>
      <c r="K40" s="13">
        <f t="shared" si="20"/>
        <v>1046932997.67</v>
      </c>
      <c r="L40" s="13">
        <f t="shared" si="20"/>
        <v>1079233247.33</v>
      </c>
      <c r="M40" s="13">
        <f t="shared" si="20"/>
        <v>1112606754.88</v>
      </c>
      <c r="N40" s="13">
        <f t="shared" si="20"/>
        <v>1154062886.44</v>
      </c>
      <c r="O40" s="13">
        <f t="shared" si="20"/>
        <v>1206009757.39</v>
      </c>
      <c r="P40" s="13">
        <f t="shared" si="20"/>
        <v>1248430578.79</v>
      </c>
      <c r="Q40" s="13">
        <f t="shared" si="20"/>
        <v>1289383497.49</v>
      </c>
      <c r="R40" s="13">
        <f t="shared" si="20"/>
        <v>1333480154.14</v>
      </c>
      <c r="S40" s="13">
        <f t="shared" si="20"/>
        <v>1381193197.96</v>
      </c>
      <c r="T40" s="13">
        <f t="shared" si="20"/>
        <v>1425401988.3</v>
      </c>
      <c r="U40" s="13">
        <f t="shared" si="20"/>
        <v>1471272840.27</v>
      </c>
      <c r="V40" s="13">
        <f t="shared" si="20"/>
        <v>1532601986.24</v>
      </c>
      <c r="W40" s="13">
        <f t="shared" si="20"/>
        <v>1581990340.19</v>
      </c>
      <c r="X40" s="13">
        <f t="shared" si="20"/>
        <v>1632662365.33</v>
      </c>
      <c r="Y40" s="13">
        <f t="shared" si="20"/>
        <v>1683814429.5</v>
      </c>
      <c r="Z40" s="13">
        <f t="shared" si="20"/>
        <v>1736825325.19</v>
      </c>
      <c r="AA40" s="13">
        <f t="shared" si="20"/>
        <v>1791113175.55</v>
      </c>
      <c r="AB40" s="13">
        <f t="shared" si="20"/>
        <v>1847347523.56</v>
      </c>
      <c r="AC40" s="13">
        <f t="shared" si="20"/>
        <v>1905599438.83</v>
      </c>
      <c r="AD40" s="13">
        <f t="shared" si="20"/>
        <v>1965210493.49</v>
      </c>
      <c r="AE40" s="15">
        <f t="shared" si="20"/>
        <v>2026931339.82</v>
      </c>
    </row>
    <row r="41" spans="1:31" s="28" customFormat="1" ht="12">
      <c r="A41" s="33">
        <v>21</v>
      </c>
      <c r="B41" s="46" t="s">
        <v>14</v>
      </c>
      <c r="C41" s="16">
        <f>+C6-C40</f>
        <v>15017365.7</v>
      </c>
      <c r="D41" s="13">
        <f aca="true" t="shared" si="21" ref="D41:AE41">+D6-D40</f>
        <v>-41351008</v>
      </c>
      <c r="E41" s="13">
        <f t="shared" si="21"/>
        <v>-39647999.86</v>
      </c>
      <c r="F41" s="13">
        <f t="shared" si="21"/>
        <v>27064516.13</v>
      </c>
      <c r="G41" s="13">
        <f t="shared" si="21"/>
        <v>10729032.26</v>
      </c>
      <c r="H41" s="13">
        <f t="shared" si="21"/>
        <v>25639117.54</v>
      </c>
      <c r="I41" s="13">
        <f t="shared" si="21"/>
        <v>32732621.42</v>
      </c>
      <c r="J41" s="13">
        <f t="shared" si="21"/>
        <v>34732621.42</v>
      </c>
      <c r="K41" s="13">
        <f t="shared" si="21"/>
        <v>34732621.42</v>
      </c>
      <c r="L41" s="13">
        <f t="shared" si="21"/>
        <v>37732621.42</v>
      </c>
      <c r="M41" s="13">
        <f t="shared" si="21"/>
        <v>40732621.42</v>
      </c>
      <c r="N41" s="13">
        <f t="shared" si="21"/>
        <v>36732621.42</v>
      </c>
      <c r="O41" s="13">
        <f t="shared" si="21"/>
        <v>22732621.42</v>
      </c>
      <c r="P41" s="13">
        <f t="shared" si="21"/>
        <v>19732621.42</v>
      </c>
      <c r="Q41" s="13">
        <f t="shared" si="21"/>
        <v>19732621.42</v>
      </c>
      <c r="R41" s="13">
        <f t="shared" si="21"/>
        <v>17732621.42</v>
      </c>
      <c r="S41" s="13">
        <f t="shared" si="21"/>
        <v>13732621.42</v>
      </c>
      <c r="T41" s="13">
        <f t="shared" si="21"/>
        <v>13732621.42</v>
      </c>
      <c r="U41" s="13">
        <f t="shared" si="21"/>
        <v>13732621.42</v>
      </c>
      <c r="V41" s="13">
        <f t="shared" si="21"/>
        <v>0</v>
      </c>
      <c r="W41" s="13">
        <f t="shared" si="21"/>
        <v>0</v>
      </c>
      <c r="X41" s="13">
        <f t="shared" si="21"/>
        <v>0</v>
      </c>
      <c r="Y41" s="13">
        <f t="shared" si="21"/>
        <v>0</v>
      </c>
      <c r="Z41" s="13">
        <f t="shared" si="21"/>
        <v>0</v>
      </c>
      <c r="AA41" s="13">
        <f t="shared" si="21"/>
        <v>0</v>
      </c>
      <c r="AB41" s="13">
        <f t="shared" si="21"/>
        <v>0</v>
      </c>
      <c r="AC41" s="13">
        <f t="shared" si="21"/>
        <v>0</v>
      </c>
      <c r="AD41" s="13">
        <f t="shared" si="21"/>
        <v>0</v>
      </c>
      <c r="AE41" s="15">
        <f t="shared" si="21"/>
        <v>0</v>
      </c>
    </row>
    <row r="42" spans="1:31" s="28" customFormat="1" ht="12">
      <c r="A42" s="33">
        <v>22</v>
      </c>
      <c r="B42" s="46" t="s">
        <v>15</v>
      </c>
      <c r="C42" s="16">
        <f>+C19+C28+C17</f>
        <v>82695755.64</v>
      </c>
      <c r="D42" s="13">
        <f>+D19+D28+D17</f>
        <v>107723151</v>
      </c>
      <c r="E42" s="13">
        <f aca="true" t="shared" si="22" ref="E42:AE42">+E19+E28+E17</f>
        <v>84647999.86</v>
      </c>
      <c r="F42" s="13">
        <f t="shared" si="22"/>
        <v>0</v>
      </c>
      <c r="G42" s="13">
        <f t="shared" si="22"/>
        <v>20000000</v>
      </c>
      <c r="H42" s="13">
        <f t="shared" si="22"/>
        <v>10000000</v>
      </c>
      <c r="I42" s="13">
        <f t="shared" si="22"/>
        <v>10000000</v>
      </c>
      <c r="J42" s="13">
        <f t="shared" si="22"/>
        <v>10000000</v>
      </c>
      <c r="K42" s="13">
        <f t="shared" si="22"/>
        <v>12000000</v>
      </c>
      <c r="L42" s="13">
        <f t="shared" si="22"/>
        <v>12000000</v>
      </c>
      <c r="M42" s="13">
        <f t="shared" si="22"/>
        <v>10000000</v>
      </c>
      <c r="N42" s="13">
        <f t="shared" si="22"/>
        <v>0</v>
      </c>
      <c r="O42" s="13">
        <f t="shared" si="22"/>
        <v>0</v>
      </c>
      <c r="P42" s="13">
        <f t="shared" si="22"/>
        <v>0</v>
      </c>
      <c r="Q42" s="13">
        <f t="shared" si="22"/>
        <v>0</v>
      </c>
      <c r="R42" s="13">
        <f t="shared" si="22"/>
        <v>0</v>
      </c>
      <c r="S42" s="13">
        <f t="shared" si="22"/>
        <v>0</v>
      </c>
      <c r="T42" s="13">
        <f t="shared" si="22"/>
        <v>0</v>
      </c>
      <c r="U42" s="13">
        <f t="shared" si="22"/>
        <v>0</v>
      </c>
      <c r="V42" s="13">
        <f t="shared" si="22"/>
        <v>0</v>
      </c>
      <c r="W42" s="13">
        <f t="shared" si="22"/>
        <v>0</v>
      </c>
      <c r="X42" s="13">
        <f t="shared" si="22"/>
        <v>0</v>
      </c>
      <c r="Y42" s="13">
        <f t="shared" si="22"/>
        <v>0</v>
      </c>
      <c r="Z42" s="13">
        <f t="shared" si="22"/>
        <v>0</v>
      </c>
      <c r="AA42" s="13">
        <f t="shared" si="22"/>
        <v>0</v>
      </c>
      <c r="AB42" s="13">
        <f t="shared" si="22"/>
        <v>0</v>
      </c>
      <c r="AC42" s="13">
        <f t="shared" si="22"/>
        <v>0</v>
      </c>
      <c r="AD42" s="13">
        <f t="shared" si="22"/>
        <v>0</v>
      </c>
      <c r="AE42" s="15">
        <f t="shared" si="22"/>
        <v>0</v>
      </c>
    </row>
    <row r="43" spans="1:31" s="28" customFormat="1" ht="12">
      <c r="A43" s="33">
        <v>23</v>
      </c>
      <c r="B43" s="46" t="s">
        <v>16</v>
      </c>
      <c r="C43" s="16">
        <f>+C22+C24</f>
        <v>80465575.01</v>
      </c>
      <c r="D43" s="13">
        <f>+D22+D24</f>
        <v>66372143</v>
      </c>
      <c r="E43" s="13">
        <f>+E22+E24</f>
        <v>45000000</v>
      </c>
      <c r="F43" s="13">
        <f>+F22+F24</f>
        <v>27064516.13</v>
      </c>
      <c r="G43" s="13">
        <f>+G22+G24</f>
        <v>30729032.26</v>
      </c>
      <c r="H43" s="13">
        <f aca="true" t="shared" si="23" ref="H43:AE43">+H22+H24</f>
        <v>35639117.54</v>
      </c>
      <c r="I43" s="13">
        <f t="shared" si="23"/>
        <v>42732621.42</v>
      </c>
      <c r="J43" s="13">
        <f t="shared" si="23"/>
        <v>44732621.42</v>
      </c>
      <c r="K43" s="13">
        <f t="shared" si="23"/>
        <v>46732621.42</v>
      </c>
      <c r="L43" s="13">
        <f t="shared" si="23"/>
        <v>49732621.42</v>
      </c>
      <c r="M43" s="13">
        <f t="shared" si="23"/>
        <v>50732621.42</v>
      </c>
      <c r="N43" s="13">
        <f t="shared" si="23"/>
        <v>36732621.42</v>
      </c>
      <c r="O43" s="13">
        <f t="shared" si="23"/>
        <v>22732621.42</v>
      </c>
      <c r="P43" s="13">
        <f t="shared" si="23"/>
        <v>19732621.42</v>
      </c>
      <c r="Q43" s="13">
        <f t="shared" si="23"/>
        <v>19732621.42</v>
      </c>
      <c r="R43" s="13">
        <f t="shared" si="23"/>
        <v>17732621.42</v>
      </c>
      <c r="S43" s="13">
        <f t="shared" si="23"/>
        <v>13732621.42</v>
      </c>
      <c r="T43" s="13">
        <f t="shared" si="23"/>
        <v>13732621.42</v>
      </c>
      <c r="U43" s="13">
        <f t="shared" si="23"/>
        <v>13732621.42</v>
      </c>
      <c r="V43" s="13">
        <f t="shared" si="23"/>
        <v>0</v>
      </c>
      <c r="W43" s="13">
        <f t="shared" si="23"/>
        <v>0</v>
      </c>
      <c r="X43" s="13">
        <f t="shared" si="23"/>
        <v>0</v>
      </c>
      <c r="Y43" s="13">
        <f t="shared" si="23"/>
        <v>0</v>
      </c>
      <c r="Z43" s="13">
        <f t="shared" si="23"/>
        <v>0</v>
      </c>
      <c r="AA43" s="13">
        <f t="shared" si="23"/>
        <v>0</v>
      </c>
      <c r="AB43" s="13">
        <f t="shared" si="23"/>
        <v>0</v>
      </c>
      <c r="AC43" s="13">
        <f t="shared" si="23"/>
        <v>0</v>
      </c>
      <c r="AD43" s="13">
        <f t="shared" si="23"/>
        <v>0</v>
      </c>
      <c r="AE43" s="15">
        <f t="shared" si="23"/>
        <v>0</v>
      </c>
    </row>
    <row r="44" spans="1:31" s="28" customFormat="1" ht="24">
      <c r="A44" s="33">
        <v>24</v>
      </c>
      <c r="B44" s="46" t="s">
        <v>85</v>
      </c>
      <c r="C44" s="16">
        <f>SUM(C45:C50)</f>
        <v>74465575</v>
      </c>
      <c r="D44" s="13">
        <f aca="true" t="shared" si="24" ref="D44:AE44">SUM(D45:D50)</f>
        <v>61372143</v>
      </c>
      <c r="E44" s="13">
        <f t="shared" si="24"/>
        <v>45000000</v>
      </c>
      <c r="F44" s="13">
        <f t="shared" si="24"/>
        <v>27064516.13</v>
      </c>
      <c r="G44" s="13">
        <f t="shared" si="24"/>
        <v>30729032.26</v>
      </c>
      <c r="H44" s="13">
        <f t="shared" si="24"/>
        <v>35639117.54</v>
      </c>
      <c r="I44" s="13">
        <f t="shared" si="24"/>
        <v>42732621.42</v>
      </c>
      <c r="J44" s="13">
        <f t="shared" si="24"/>
        <v>44732621.42</v>
      </c>
      <c r="K44" s="13">
        <f t="shared" si="24"/>
        <v>46732621.42</v>
      </c>
      <c r="L44" s="13">
        <f t="shared" si="24"/>
        <v>49732621.42</v>
      </c>
      <c r="M44" s="13">
        <f t="shared" si="24"/>
        <v>50732621.42</v>
      </c>
      <c r="N44" s="13">
        <f t="shared" si="24"/>
        <v>36732621.42</v>
      </c>
      <c r="O44" s="13">
        <f t="shared" si="24"/>
        <v>22732621.42</v>
      </c>
      <c r="P44" s="13">
        <f t="shared" si="24"/>
        <v>19732621.42</v>
      </c>
      <c r="Q44" s="13">
        <f t="shared" si="24"/>
        <v>19732621.42</v>
      </c>
      <c r="R44" s="13">
        <f t="shared" si="24"/>
        <v>17732621.42</v>
      </c>
      <c r="S44" s="13">
        <f t="shared" si="24"/>
        <v>13732621.42</v>
      </c>
      <c r="T44" s="13">
        <f t="shared" si="24"/>
        <v>13732621.42</v>
      </c>
      <c r="U44" s="13">
        <f t="shared" si="24"/>
        <v>13732621.42</v>
      </c>
      <c r="V44" s="13">
        <f t="shared" si="24"/>
        <v>0</v>
      </c>
      <c r="W44" s="13">
        <f t="shared" si="24"/>
        <v>0</v>
      </c>
      <c r="X44" s="13">
        <f>SUM(X45:X50)</f>
        <v>0</v>
      </c>
      <c r="Y44" s="13">
        <f t="shared" si="24"/>
        <v>0</v>
      </c>
      <c r="Z44" s="13">
        <f t="shared" si="24"/>
        <v>0</v>
      </c>
      <c r="AA44" s="13">
        <f t="shared" si="24"/>
        <v>0</v>
      </c>
      <c r="AB44" s="13">
        <f t="shared" si="24"/>
        <v>0</v>
      </c>
      <c r="AC44" s="13">
        <f t="shared" si="24"/>
        <v>0</v>
      </c>
      <c r="AD44" s="13">
        <f t="shared" si="24"/>
        <v>0</v>
      </c>
      <c r="AE44" s="15">
        <f t="shared" si="24"/>
        <v>0</v>
      </c>
    </row>
    <row r="45" spans="1:31" s="28" customFormat="1" ht="12">
      <c r="A45" s="33" t="s">
        <v>3</v>
      </c>
      <c r="B45" s="46" t="s">
        <v>17</v>
      </c>
      <c r="C45" s="16"/>
      <c r="D45" s="13">
        <v>0</v>
      </c>
      <c r="E45" s="13"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</row>
    <row r="46" spans="1:31" s="28" customFormat="1" ht="12">
      <c r="A46" s="33" t="s">
        <v>4</v>
      </c>
      <c r="B46" s="46" t="s">
        <v>18</v>
      </c>
      <c r="C46" s="16">
        <f>465575</f>
        <v>465575</v>
      </c>
      <c r="D46" s="13">
        <f>D17</f>
        <v>16372143</v>
      </c>
      <c r="E46" s="13">
        <f>E17</f>
        <v>0</v>
      </c>
      <c r="F46" s="13">
        <f>F17</f>
        <v>0</v>
      </c>
      <c r="G46" s="13">
        <f>G17</f>
        <v>0</v>
      </c>
      <c r="H46" s="13">
        <f aca="true" t="shared" si="25" ref="H46:W46">H17</f>
        <v>0</v>
      </c>
      <c r="I46" s="13">
        <f t="shared" si="25"/>
        <v>0</v>
      </c>
      <c r="J46" s="13">
        <f t="shared" si="25"/>
        <v>0</v>
      </c>
      <c r="K46" s="13">
        <f t="shared" si="25"/>
        <v>0</v>
      </c>
      <c r="L46" s="13">
        <f t="shared" si="25"/>
        <v>0</v>
      </c>
      <c r="M46" s="13">
        <f t="shared" si="25"/>
        <v>0</v>
      </c>
      <c r="N46" s="13">
        <f t="shared" si="25"/>
        <v>0</v>
      </c>
      <c r="O46" s="13">
        <f t="shared" si="25"/>
        <v>0</v>
      </c>
      <c r="P46" s="13">
        <f t="shared" si="25"/>
        <v>0</v>
      </c>
      <c r="Q46" s="13">
        <f t="shared" si="25"/>
        <v>0</v>
      </c>
      <c r="R46" s="13">
        <f t="shared" si="25"/>
        <v>0</v>
      </c>
      <c r="S46" s="13">
        <f t="shared" si="25"/>
        <v>0</v>
      </c>
      <c r="T46" s="13">
        <f t="shared" si="25"/>
        <v>0</v>
      </c>
      <c r="U46" s="13">
        <f t="shared" si="25"/>
        <v>0</v>
      </c>
      <c r="V46" s="13">
        <f t="shared" si="25"/>
        <v>0</v>
      </c>
      <c r="W46" s="13">
        <f t="shared" si="25"/>
        <v>0</v>
      </c>
      <c r="X46" s="13">
        <f aca="true" t="shared" si="26" ref="X46:AE46">X17</f>
        <v>0</v>
      </c>
      <c r="Y46" s="13">
        <f t="shared" si="26"/>
        <v>0</v>
      </c>
      <c r="Z46" s="13">
        <f t="shared" si="26"/>
        <v>0</v>
      </c>
      <c r="AA46" s="13">
        <f t="shared" si="26"/>
        <v>0</v>
      </c>
      <c r="AB46" s="13">
        <f t="shared" si="26"/>
        <v>0</v>
      </c>
      <c r="AC46" s="13">
        <f t="shared" si="26"/>
        <v>0</v>
      </c>
      <c r="AD46" s="13">
        <f t="shared" si="26"/>
        <v>0</v>
      </c>
      <c r="AE46" s="15">
        <f t="shared" si="26"/>
        <v>0</v>
      </c>
    </row>
    <row r="47" spans="1:31" s="28" customFormat="1" ht="12">
      <c r="A47" s="33" t="s">
        <v>5</v>
      </c>
      <c r="B47" s="46" t="s">
        <v>19</v>
      </c>
      <c r="C47" s="16">
        <v>74000000</v>
      </c>
      <c r="D47" s="13">
        <f>D22-D50-D46</f>
        <v>45000000</v>
      </c>
      <c r="E47" s="13">
        <f>E22-E50-E46</f>
        <v>45000000</v>
      </c>
      <c r="F47" s="13">
        <f>F22-F50-F46</f>
        <v>0</v>
      </c>
      <c r="G47" s="13">
        <f aca="true" t="shared" si="27" ref="G47:N47">G22-G50-G46</f>
        <v>20000000</v>
      </c>
      <c r="H47" s="13">
        <f t="shared" si="27"/>
        <v>10000000</v>
      </c>
      <c r="I47" s="13">
        <f t="shared" si="27"/>
        <v>10000000</v>
      </c>
      <c r="J47" s="13">
        <f t="shared" si="27"/>
        <v>10000000</v>
      </c>
      <c r="K47" s="13">
        <f t="shared" si="27"/>
        <v>12000000</v>
      </c>
      <c r="L47" s="13">
        <f t="shared" si="27"/>
        <v>12000000</v>
      </c>
      <c r="M47" s="13">
        <f t="shared" si="27"/>
        <v>10000000</v>
      </c>
      <c r="N47" s="13">
        <f t="shared" si="27"/>
        <v>0</v>
      </c>
      <c r="O47" s="13">
        <f aca="true" t="shared" si="28" ref="O47:AE47">O22-O50-O46</f>
        <v>0</v>
      </c>
      <c r="P47" s="13">
        <f t="shared" si="28"/>
        <v>0</v>
      </c>
      <c r="Q47" s="13">
        <f t="shared" si="28"/>
        <v>0</v>
      </c>
      <c r="R47" s="13">
        <f t="shared" si="28"/>
        <v>0</v>
      </c>
      <c r="S47" s="13">
        <f t="shared" si="28"/>
        <v>0</v>
      </c>
      <c r="T47" s="13">
        <f t="shared" si="28"/>
        <v>0</v>
      </c>
      <c r="U47" s="13">
        <f t="shared" si="28"/>
        <v>0</v>
      </c>
      <c r="V47" s="13">
        <f t="shared" si="28"/>
        <v>0</v>
      </c>
      <c r="W47" s="13">
        <f t="shared" si="28"/>
        <v>0</v>
      </c>
      <c r="X47" s="13">
        <f t="shared" si="28"/>
        <v>0</v>
      </c>
      <c r="Y47" s="13">
        <f t="shared" si="28"/>
        <v>0</v>
      </c>
      <c r="Z47" s="13">
        <f t="shared" si="28"/>
        <v>0</v>
      </c>
      <c r="AA47" s="13">
        <f t="shared" si="28"/>
        <v>0</v>
      </c>
      <c r="AB47" s="13">
        <f t="shared" si="28"/>
        <v>0</v>
      </c>
      <c r="AC47" s="13">
        <f t="shared" si="28"/>
        <v>0</v>
      </c>
      <c r="AD47" s="13">
        <f t="shared" si="28"/>
        <v>0</v>
      </c>
      <c r="AE47" s="15">
        <f t="shared" si="28"/>
        <v>0</v>
      </c>
    </row>
    <row r="48" spans="1:31" s="28" customFormat="1" ht="15" customHeight="1">
      <c r="A48" s="33" t="s">
        <v>6</v>
      </c>
      <c r="B48" s="46" t="s">
        <v>20</v>
      </c>
      <c r="C48" s="16"/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</row>
    <row r="49" spans="1:31" s="28" customFormat="1" ht="12">
      <c r="A49" s="33" t="s">
        <v>7</v>
      </c>
      <c r="B49" s="46" t="s">
        <v>21</v>
      </c>
      <c r="C49" s="16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</row>
    <row r="50" spans="1:31" s="28" customFormat="1" ht="12">
      <c r="A50" s="33" t="s">
        <v>33</v>
      </c>
      <c r="B50" s="46" t="s">
        <v>34</v>
      </c>
      <c r="C50" s="16"/>
      <c r="D50" s="50"/>
      <c r="E50" s="13"/>
      <c r="F50" s="13">
        <f aca="true" t="shared" si="29" ref="F50:O50">F41</f>
        <v>27064516.13</v>
      </c>
      <c r="G50" s="13">
        <f t="shared" si="29"/>
        <v>10729032.26</v>
      </c>
      <c r="H50" s="13">
        <f t="shared" si="29"/>
        <v>25639117.54</v>
      </c>
      <c r="I50" s="13">
        <f t="shared" si="29"/>
        <v>32732621.42</v>
      </c>
      <c r="J50" s="13">
        <f t="shared" si="29"/>
        <v>34732621.42</v>
      </c>
      <c r="K50" s="13">
        <f t="shared" si="29"/>
        <v>34732621.42</v>
      </c>
      <c r="L50" s="13">
        <f t="shared" si="29"/>
        <v>37732621.42</v>
      </c>
      <c r="M50" s="13">
        <f t="shared" si="29"/>
        <v>40732621.42</v>
      </c>
      <c r="N50" s="13">
        <f t="shared" si="29"/>
        <v>36732621.42</v>
      </c>
      <c r="O50" s="13">
        <f t="shared" si="29"/>
        <v>22732621.42</v>
      </c>
      <c r="P50" s="13">
        <f aca="true" t="shared" si="30" ref="P50:AE50">P41</f>
        <v>19732621.42</v>
      </c>
      <c r="Q50" s="13">
        <f t="shared" si="30"/>
        <v>19732621.42</v>
      </c>
      <c r="R50" s="13">
        <f t="shared" si="30"/>
        <v>17732621.42</v>
      </c>
      <c r="S50" s="13">
        <f t="shared" si="30"/>
        <v>13732621.42</v>
      </c>
      <c r="T50" s="13">
        <f t="shared" si="30"/>
        <v>13732621.42</v>
      </c>
      <c r="U50" s="13">
        <f t="shared" si="30"/>
        <v>13732621.42</v>
      </c>
      <c r="V50" s="13">
        <f t="shared" si="30"/>
        <v>0</v>
      </c>
      <c r="W50" s="13">
        <f t="shared" si="30"/>
        <v>0</v>
      </c>
      <c r="X50" s="13">
        <f t="shared" si="30"/>
        <v>0</v>
      </c>
      <c r="Y50" s="13">
        <f t="shared" si="30"/>
        <v>0</v>
      </c>
      <c r="Z50" s="13">
        <f t="shared" si="30"/>
        <v>0</v>
      </c>
      <c r="AA50" s="13">
        <f t="shared" si="30"/>
        <v>0</v>
      </c>
      <c r="AB50" s="13">
        <f t="shared" si="30"/>
        <v>0</v>
      </c>
      <c r="AC50" s="13">
        <f t="shared" si="30"/>
        <v>0</v>
      </c>
      <c r="AD50" s="13">
        <f t="shared" si="30"/>
        <v>0</v>
      </c>
      <c r="AE50" s="15">
        <f t="shared" si="30"/>
        <v>0</v>
      </c>
    </row>
    <row r="51" spans="1:11" ht="16.5">
      <c r="A51" s="35"/>
      <c r="B51" s="7"/>
      <c r="K51" s="3"/>
    </row>
    <row r="52" spans="1:2" ht="15">
      <c r="A52" s="35"/>
      <c r="B52" s="7"/>
    </row>
    <row r="53" spans="1:2" ht="15">
      <c r="A53" s="35"/>
      <c r="B53" s="20"/>
    </row>
    <row r="54" spans="1:4" ht="15">
      <c r="A54" s="35"/>
      <c r="B54" s="7"/>
      <c r="C54" s="8"/>
      <c r="D54" s="51"/>
    </row>
    <row r="55" spans="1:2" ht="15">
      <c r="A55" s="35"/>
      <c r="B55" s="7"/>
    </row>
    <row r="56" spans="1:2" ht="15">
      <c r="A56" s="35"/>
      <c r="B56" s="7"/>
    </row>
    <row r="57" spans="1:2" ht="15">
      <c r="A57" s="35"/>
      <c r="B57" s="7"/>
    </row>
    <row r="58" spans="1:2" ht="15">
      <c r="A58" s="35"/>
      <c r="B58" s="7"/>
    </row>
    <row r="59" spans="1:2" ht="15">
      <c r="A59" s="35"/>
      <c r="B59" s="7"/>
    </row>
    <row r="60" spans="1:2" ht="15">
      <c r="A60" s="35"/>
      <c r="B60" s="7"/>
    </row>
    <row r="61" spans="1:2" ht="15">
      <c r="A61" s="35"/>
      <c r="B61" s="7"/>
    </row>
    <row r="62" spans="1:2" ht="15">
      <c r="A62" s="35"/>
      <c r="B62" s="7"/>
    </row>
    <row r="63" spans="1:2" ht="15">
      <c r="A63" s="35"/>
      <c r="B63" s="7"/>
    </row>
    <row r="64" spans="1:2" ht="15">
      <c r="A64" s="35"/>
      <c r="B64" s="7"/>
    </row>
    <row r="65" spans="1:2" ht="15">
      <c r="A65" s="35"/>
      <c r="B65" s="7"/>
    </row>
    <row r="66" spans="1:2" ht="15">
      <c r="A66" s="35"/>
      <c r="B66" s="7"/>
    </row>
    <row r="67" spans="1:2" ht="15">
      <c r="A67" s="35"/>
      <c r="B67" s="7"/>
    </row>
    <row r="68" spans="1:2" ht="15">
      <c r="A68" s="35"/>
      <c r="B68" s="7"/>
    </row>
    <row r="69" spans="1:2" ht="15">
      <c r="A69" s="35"/>
      <c r="B69" s="7"/>
    </row>
    <row r="70" spans="1:2" ht="15">
      <c r="A70" s="35"/>
      <c r="B70" s="7"/>
    </row>
    <row r="71" spans="1:2" ht="15">
      <c r="A71" s="35"/>
      <c r="B71" s="7"/>
    </row>
    <row r="72" spans="1:2" ht="15">
      <c r="A72" s="35"/>
      <c r="B72" s="7"/>
    </row>
    <row r="73" spans="1:2" ht="15">
      <c r="A73" s="35"/>
      <c r="B73" s="7"/>
    </row>
    <row r="74" spans="1:2" ht="15">
      <c r="A74" s="35"/>
      <c r="B74" s="7"/>
    </row>
    <row r="75" spans="1:2" ht="15">
      <c r="A75" s="35"/>
      <c r="B75" s="7"/>
    </row>
    <row r="76" spans="1:2" ht="15">
      <c r="A76" s="35"/>
      <c r="B76" s="7"/>
    </row>
    <row r="77" spans="1:2" ht="15">
      <c r="A77" s="35"/>
      <c r="B77" s="7"/>
    </row>
    <row r="78" spans="1:2" ht="15">
      <c r="A78" s="35"/>
      <c r="B78" s="7"/>
    </row>
    <row r="79" spans="1:2" ht="15">
      <c r="A79" s="35"/>
      <c r="B79" s="7"/>
    </row>
    <row r="80" spans="1:2" ht="15">
      <c r="A80" s="35"/>
      <c r="B80" s="7"/>
    </row>
    <row r="81" spans="1:2" ht="15">
      <c r="A81" s="35"/>
      <c r="B81" s="7"/>
    </row>
    <row r="82" spans="1:2" ht="15">
      <c r="A82" s="35"/>
      <c r="B82" s="7"/>
    </row>
    <row r="83" spans="1:2" ht="15">
      <c r="A83" s="35"/>
      <c r="B83" s="7"/>
    </row>
    <row r="84" spans="1:2" ht="15">
      <c r="A84" s="35"/>
      <c r="B84" s="7"/>
    </row>
    <row r="85" spans="1:2" ht="15">
      <c r="A85" s="35"/>
      <c r="B85" s="7"/>
    </row>
    <row r="86" spans="1:2" ht="15">
      <c r="A86" s="35"/>
      <c r="B86" s="7"/>
    </row>
    <row r="87" spans="1:2" ht="15">
      <c r="A87" s="35"/>
      <c r="B87" s="7"/>
    </row>
    <row r="88" spans="1:2" ht="15">
      <c r="A88" s="35"/>
      <c r="B88" s="7"/>
    </row>
    <row r="89" spans="1:2" ht="15">
      <c r="A89" s="35"/>
      <c r="B89" s="7"/>
    </row>
    <row r="90" spans="1:2" ht="15">
      <c r="A90" s="35"/>
      <c r="B90" s="7"/>
    </row>
    <row r="91" spans="1:2" ht="15">
      <c r="A91" s="35"/>
      <c r="B91" s="7"/>
    </row>
    <row r="92" spans="1:2" ht="15">
      <c r="A92" s="35"/>
      <c r="B92" s="7"/>
    </row>
    <row r="93" spans="1:2" ht="15">
      <c r="A93" s="35"/>
      <c r="B93" s="7"/>
    </row>
    <row r="94" spans="1:2" ht="15">
      <c r="A94" s="35"/>
      <c r="B94" s="7"/>
    </row>
    <row r="95" spans="1:2" ht="15">
      <c r="A95" s="35"/>
      <c r="B95" s="7"/>
    </row>
    <row r="96" spans="1:2" ht="15">
      <c r="A96" s="35"/>
      <c r="B96" s="7"/>
    </row>
    <row r="97" spans="1:2" ht="15">
      <c r="A97" s="35"/>
      <c r="B97" s="7"/>
    </row>
    <row r="98" spans="1:2" ht="15">
      <c r="A98" s="35"/>
      <c r="B98" s="7"/>
    </row>
    <row r="99" spans="1:2" ht="15">
      <c r="A99" s="35"/>
      <c r="B99" s="7"/>
    </row>
    <row r="100" spans="1:2" ht="15">
      <c r="A100" s="35"/>
      <c r="B100" s="7"/>
    </row>
    <row r="101" spans="1:2" ht="15">
      <c r="A101" s="35"/>
      <c r="B101" s="7"/>
    </row>
    <row r="102" spans="1:2" ht="15">
      <c r="A102" s="35"/>
      <c r="B102" s="7"/>
    </row>
    <row r="103" spans="1:2" ht="15">
      <c r="A103" s="35"/>
      <c r="B103" s="7"/>
    </row>
    <row r="104" spans="1:2" ht="15">
      <c r="A104" s="35"/>
      <c r="B104" s="7"/>
    </row>
    <row r="105" spans="1:2" ht="15">
      <c r="A105" s="35"/>
      <c r="B105" s="7"/>
    </row>
    <row r="106" spans="1:2" ht="15">
      <c r="A106" s="35"/>
      <c r="B106" s="7"/>
    </row>
    <row r="107" spans="1:2" ht="15">
      <c r="A107" s="35"/>
      <c r="B107" s="7"/>
    </row>
    <row r="108" spans="1:2" ht="15">
      <c r="A108" s="35"/>
      <c r="B108" s="7"/>
    </row>
    <row r="109" spans="1:2" ht="15">
      <c r="A109" s="35"/>
      <c r="B109" s="7"/>
    </row>
    <row r="110" spans="1:2" ht="15">
      <c r="A110" s="35"/>
      <c r="B110" s="7"/>
    </row>
    <row r="111" spans="1:2" ht="15">
      <c r="A111" s="35"/>
      <c r="B111" s="7"/>
    </row>
    <row r="112" spans="1:2" ht="15">
      <c r="A112" s="35"/>
      <c r="B112" s="7"/>
    </row>
    <row r="113" spans="1:2" ht="15">
      <c r="A113" s="35"/>
      <c r="B113" s="7"/>
    </row>
    <row r="114" spans="1:2" ht="15">
      <c r="A114" s="35"/>
      <c r="B114" s="7"/>
    </row>
    <row r="115" spans="1:2" ht="15">
      <c r="A115" s="35"/>
      <c r="B115" s="7"/>
    </row>
    <row r="116" spans="1:2" ht="15">
      <c r="A116" s="35"/>
      <c r="B116" s="7"/>
    </row>
    <row r="117" spans="1:2" ht="15">
      <c r="A117" s="35"/>
      <c r="B117" s="7"/>
    </row>
    <row r="118" spans="1:2" ht="15">
      <c r="A118" s="35"/>
      <c r="B118" s="7"/>
    </row>
    <row r="119" spans="1:2" ht="15">
      <c r="A119" s="35"/>
      <c r="B119" s="7"/>
    </row>
    <row r="120" spans="1:2" ht="15">
      <c r="A120" s="35"/>
      <c r="B120" s="7"/>
    </row>
    <row r="121" spans="1:2" ht="15">
      <c r="A121" s="35"/>
      <c r="B121" s="7"/>
    </row>
    <row r="122" spans="1:2" ht="15">
      <c r="A122" s="35"/>
      <c r="B122" s="7"/>
    </row>
    <row r="123" spans="1:2" ht="15">
      <c r="A123" s="35"/>
      <c r="B123" s="7"/>
    </row>
    <row r="124" spans="1:2" ht="15">
      <c r="A124" s="35"/>
      <c r="B124" s="7"/>
    </row>
    <row r="125" spans="1:2" ht="15">
      <c r="A125" s="35"/>
      <c r="B125" s="7"/>
    </row>
    <row r="126" spans="1:2" ht="15">
      <c r="A126" s="35"/>
      <c r="B126" s="7"/>
    </row>
    <row r="127" spans="1:2" ht="15">
      <c r="A127" s="35"/>
      <c r="B127" s="7"/>
    </row>
    <row r="128" spans="1:2" ht="15">
      <c r="A128" s="35"/>
      <c r="B128" s="7"/>
    </row>
    <row r="129" spans="1:2" ht="15">
      <c r="A129" s="35"/>
      <c r="B129" s="7"/>
    </row>
    <row r="130" spans="1:2" ht="15">
      <c r="A130" s="35"/>
      <c r="B130" s="7"/>
    </row>
    <row r="131" spans="1:2" ht="15">
      <c r="A131" s="35"/>
      <c r="B131" s="7"/>
    </row>
    <row r="132" spans="1:2" ht="15">
      <c r="A132" s="35"/>
      <c r="B132" s="7"/>
    </row>
    <row r="133" spans="1:2" ht="15">
      <c r="A133" s="35"/>
      <c r="B133" s="7"/>
    </row>
    <row r="134" spans="1:2" ht="15">
      <c r="A134" s="35"/>
      <c r="B134" s="7"/>
    </row>
    <row r="135" spans="1:2" ht="15">
      <c r="A135" s="35"/>
      <c r="B135" s="7"/>
    </row>
    <row r="136" spans="1:2" ht="15">
      <c r="A136" s="35"/>
      <c r="B136" s="7"/>
    </row>
    <row r="137" spans="1:2" ht="15">
      <c r="A137" s="35"/>
      <c r="B137" s="7"/>
    </row>
    <row r="138" spans="1:2" ht="15">
      <c r="A138" s="35"/>
      <c r="B138" s="7"/>
    </row>
    <row r="139" spans="1:2" ht="15">
      <c r="A139" s="35"/>
      <c r="B139" s="7"/>
    </row>
    <row r="140" spans="1:2" ht="15">
      <c r="A140" s="35"/>
      <c r="B140" s="7"/>
    </row>
    <row r="141" spans="1:2" ht="15">
      <c r="A141" s="35"/>
      <c r="B141" s="7"/>
    </row>
    <row r="142" spans="1:2" ht="15">
      <c r="A142" s="35"/>
      <c r="B142" s="7"/>
    </row>
    <row r="143" spans="1:2" ht="15">
      <c r="A143" s="35"/>
      <c r="B143" s="7"/>
    </row>
    <row r="144" spans="1:2" ht="15">
      <c r="A144" s="35"/>
      <c r="B144" s="7"/>
    </row>
    <row r="145" spans="1:2" ht="15">
      <c r="A145" s="35"/>
      <c r="B145" s="7"/>
    </row>
    <row r="146" spans="1:2" ht="15">
      <c r="A146" s="35"/>
      <c r="B146" s="7"/>
    </row>
    <row r="147" spans="1:2" ht="15">
      <c r="A147" s="35"/>
      <c r="B147" s="7"/>
    </row>
    <row r="148" spans="1:2" ht="15">
      <c r="A148" s="35"/>
      <c r="B148" s="7"/>
    </row>
    <row r="149" spans="1:2" ht="15">
      <c r="A149" s="35"/>
      <c r="B149" s="7"/>
    </row>
    <row r="150" spans="1:2" ht="15">
      <c r="A150" s="35"/>
      <c r="B150" s="7"/>
    </row>
    <row r="151" spans="1:2" ht="15">
      <c r="A151" s="35"/>
      <c r="B151" s="7"/>
    </row>
    <row r="152" spans="1:2" ht="15">
      <c r="A152" s="35"/>
      <c r="B152" s="7"/>
    </row>
    <row r="153" spans="1:2" ht="15">
      <c r="A153" s="35"/>
      <c r="B153" s="7"/>
    </row>
    <row r="154" spans="1:2" ht="15">
      <c r="A154" s="35"/>
      <c r="B154" s="7"/>
    </row>
    <row r="155" spans="1:2" ht="15">
      <c r="A155" s="35"/>
      <c r="B155" s="7"/>
    </row>
    <row r="156" spans="1:2" ht="15">
      <c r="A156" s="35"/>
      <c r="B156" s="7"/>
    </row>
    <row r="157" spans="1:2" ht="15">
      <c r="A157" s="35"/>
      <c r="B157" s="7"/>
    </row>
    <row r="158" spans="1:2" ht="15">
      <c r="A158" s="35"/>
      <c r="B158" s="7"/>
    </row>
    <row r="159" spans="1:2" ht="15">
      <c r="A159" s="35"/>
      <c r="B159" s="7"/>
    </row>
    <row r="160" spans="1:2" ht="15">
      <c r="A160" s="35"/>
      <c r="B160" s="7"/>
    </row>
    <row r="161" spans="1:2" ht="15">
      <c r="A161" s="35"/>
      <c r="B161" s="7"/>
    </row>
    <row r="162" spans="1:2" ht="15">
      <c r="A162" s="35"/>
      <c r="B162" s="7"/>
    </row>
    <row r="163" spans="1:2" ht="15">
      <c r="A163" s="35"/>
      <c r="B163" s="7"/>
    </row>
    <row r="164" spans="1:2" ht="15">
      <c r="A164" s="35"/>
      <c r="B164" s="7"/>
    </row>
    <row r="165" spans="1:2" ht="15">
      <c r="A165" s="35"/>
      <c r="B165" s="7"/>
    </row>
    <row r="166" spans="1:2" ht="15">
      <c r="A166" s="35"/>
      <c r="B166" s="7"/>
    </row>
    <row r="167" spans="1:2" ht="15">
      <c r="A167" s="35"/>
      <c r="B167" s="7"/>
    </row>
    <row r="168" spans="1:2" ht="15">
      <c r="A168" s="35"/>
      <c r="B168" s="7"/>
    </row>
    <row r="169" spans="1:2" ht="15">
      <c r="A169" s="35"/>
      <c r="B169" s="7"/>
    </row>
    <row r="170" spans="1:2" ht="15">
      <c r="A170" s="35"/>
      <c r="B170" s="7"/>
    </row>
    <row r="171" spans="1:2" ht="15">
      <c r="A171" s="35"/>
      <c r="B171" s="7"/>
    </row>
    <row r="172" spans="1:2" ht="15">
      <c r="A172" s="35"/>
      <c r="B172" s="7"/>
    </row>
    <row r="173" spans="1:2" ht="15">
      <c r="A173" s="35"/>
      <c r="B173" s="7"/>
    </row>
    <row r="174" spans="1:2" ht="15">
      <c r="A174" s="35"/>
      <c r="B174" s="7"/>
    </row>
    <row r="175" spans="1:2" ht="15">
      <c r="A175" s="35"/>
      <c r="B175" s="7"/>
    </row>
    <row r="176" spans="1:2" ht="15">
      <c r="A176" s="35"/>
      <c r="B176" s="7"/>
    </row>
    <row r="177" spans="1:2" ht="15">
      <c r="A177" s="35"/>
      <c r="B177" s="7"/>
    </row>
    <row r="178" spans="1:2" ht="15">
      <c r="A178" s="35"/>
      <c r="B178" s="7"/>
    </row>
    <row r="179" spans="1:2" ht="15">
      <c r="A179" s="35"/>
      <c r="B179" s="7"/>
    </row>
    <row r="180" spans="1:2" ht="15">
      <c r="A180" s="35"/>
      <c r="B180" s="7"/>
    </row>
    <row r="181" spans="1:2" ht="15">
      <c r="A181" s="35"/>
      <c r="B181" s="7"/>
    </row>
    <row r="182" spans="1:2" ht="15">
      <c r="A182" s="35"/>
      <c r="B182" s="7"/>
    </row>
    <row r="183" spans="1:2" ht="15">
      <c r="A183" s="35"/>
      <c r="B183" s="7"/>
    </row>
    <row r="184" spans="1:2" ht="15">
      <c r="A184" s="35"/>
      <c r="B184" s="7"/>
    </row>
    <row r="185" spans="1:2" ht="15">
      <c r="A185" s="35"/>
      <c r="B185" s="7"/>
    </row>
    <row r="186" spans="1:2" ht="15">
      <c r="A186" s="35"/>
      <c r="B186" s="7"/>
    </row>
    <row r="187" spans="1:2" ht="15">
      <c r="A187" s="35"/>
      <c r="B187" s="7"/>
    </row>
    <row r="188" spans="1:2" ht="15">
      <c r="A188" s="35"/>
      <c r="B188" s="7"/>
    </row>
    <row r="189" spans="1:2" ht="15">
      <c r="A189" s="35"/>
      <c r="B189" s="7"/>
    </row>
    <row r="190" spans="1:2" ht="15">
      <c r="A190" s="35"/>
      <c r="B190" s="7"/>
    </row>
    <row r="191" spans="1:2" ht="15">
      <c r="A191" s="35"/>
      <c r="B191" s="7"/>
    </row>
    <row r="192" spans="1:2" ht="15">
      <c r="A192" s="35"/>
      <c r="B192" s="7"/>
    </row>
    <row r="193" spans="1:2" ht="15">
      <c r="A193" s="35"/>
      <c r="B193" s="7"/>
    </row>
    <row r="194" spans="1:2" ht="15">
      <c r="A194" s="35"/>
      <c r="B194" s="7"/>
    </row>
    <row r="195" spans="1:2" ht="15">
      <c r="A195" s="35"/>
      <c r="B195" s="7"/>
    </row>
    <row r="196" spans="1:2" ht="15">
      <c r="A196" s="35"/>
      <c r="B196" s="7"/>
    </row>
    <row r="197" spans="1:2" ht="15">
      <c r="A197" s="35"/>
      <c r="B197" s="7"/>
    </row>
    <row r="198" spans="1:2" ht="15">
      <c r="A198" s="35"/>
      <c r="B198" s="7"/>
    </row>
    <row r="199" spans="1:2" ht="15">
      <c r="A199" s="35"/>
      <c r="B199" s="7"/>
    </row>
    <row r="200" spans="1:2" ht="15">
      <c r="A200" s="35"/>
      <c r="B200" s="7"/>
    </row>
    <row r="201" spans="1:2" ht="15">
      <c r="A201" s="35"/>
      <c r="B201" s="7"/>
    </row>
    <row r="202" spans="1:2" ht="15">
      <c r="A202" s="35"/>
      <c r="B202" s="7"/>
    </row>
    <row r="203" spans="1:2" ht="15">
      <c r="A203" s="35"/>
      <c r="B203" s="7"/>
    </row>
    <row r="204" spans="1:2" ht="15">
      <c r="A204" s="35"/>
      <c r="B204" s="7"/>
    </row>
    <row r="205" spans="1:2" ht="15">
      <c r="A205" s="35"/>
      <c r="B205" s="7"/>
    </row>
    <row r="206" spans="1:2" ht="15">
      <c r="A206" s="35"/>
      <c r="B206" s="7"/>
    </row>
    <row r="207" spans="1:2" ht="15">
      <c r="A207" s="35"/>
      <c r="B207" s="7"/>
    </row>
    <row r="208" spans="1:2" ht="15">
      <c r="A208" s="35"/>
      <c r="B208" s="7"/>
    </row>
    <row r="209" spans="1:2" ht="15">
      <c r="A209" s="35"/>
      <c r="B209" s="7"/>
    </row>
    <row r="210" spans="1:2" ht="15">
      <c r="A210" s="35"/>
      <c r="B210" s="7"/>
    </row>
    <row r="211" spans="1:2" ht="15">
      <c r="A211" s="35"/>
      <c r="B211" s="7"/>
    </row>
    <row r="212" spans="1:2" ht="15">
      <c r="A212" s="35"/>
      <c r="B212" s="7"/>
    </row>
    <row r="213" spans="1:2" ht="15">
      <c r="A213" s="35"/>
      <c r="B213" s="7"/>
    </row>
    <row r="214" spans="1:2" ht="15">
      <c r="A214" s="35"/>
      <c r="B214" s="7"/>
    </row>
    <row r="215" spans="1:2" ht="15">
      <c r="A215" s="35"/>
      <c r="B215" s="7"/>
    </row>
    <row r="216" spans="1:2" ht="15">
      <c r="A216" s="35"/>
      <c r="B216" s="7"/>
    </row>
    <row r="217" spans="1:2" ht="15">
      <c r="A217" s="35"/>
      <c r="B217" s="7"/>
    </row>
    <row r="218" spans="1:2" ht="15">
      <c r="A218" s="35"/>
      <c r="B218" s="7"/>
    </row>
    <row r="219" spans="1:2" ht="15">
      <c r="A219" s="35"/>
      <c r="B219" s="7"/>
    </row>
    <row r="220" spans="1:2" ht="15">
      <c r="A220" s="35"/>
      <c r="B220" s="7"/>
    </row>
    <row r="221" spans="1:2" ht="15">
      <c r="A221" s="35"/>
      <c r="B221" s="7"/>
    </row>
    <row r="222" spans="1:2" ht="15">
      <c r="A222" s="35"/>
      <c r="B222" s="7"/>
    </row>
    <row r="223" spans="1:2" ht="15">
      <c r="A223" s="35"/>
      <c r="B223" s="7"/>
    </row>
    <row r="224" spans="1:2" ht="15">
      <c r="A224" s="35"/>
      <c r="B224" s="7"/>
    </row>
    <row r="225" spans="1:2" ht="15">
      <c r="A225" s="35"/>
      <c r="B225" s="7"/>
    </row>
    <row r="226" spans="1:2" ht="15">
      <c r="A226" s="35"/>
      <c r="B226" s="7"/>
    </row>
    <row r="227" spans="1:2" ht="15">
      <c r="A227" s="35"/>
      <c r="B227" s="7"/>
    </row>
    <row r="228" spans="1:2" ht="15">
      <c r="A228" s="35"/>
      <c r="B228" s="7"/>
    </row>
    <row r="229" spans="1:2" ht="15">
      <c r="A229" s="35"/>
      <c r="B229" s="7"/>
    </row>
    <row r="230" spans="1:2" ht="15">
      <c r="A230" s="35"/>
      <c r="B230" s="7"/>
    </row>
    <row r="231" spans="1:2" ht="15">
      <c r="A231" s="35"/>
      <c r="B231" s="7"/>
    </row>
    <row r="232" spans="1:2" ht="15">
      <c r="A232" s="35"/>
      <c r="B232" s="7"/>
    </row>
    <row r="233" spans="1:2" ht="15">
      <c r="A233" s="35"/>
      <c r="B233" s="7"/>
    </row>
    <row r="234" spans="1:2" ht="15">
      <c r="A234" s="35"/>
      <c r="B234" s="7"/>
    </row>
    <row r="235" spans="1:2" ht="15">
      <c r="A235" s="35"/>
      <c r="B235" s="7"/>
    </row>
    <row r="236" spans="1:2" ht="15">
      <c r="A236" s="35"/>
      <c r="B236" s="7"/>
    </row>
    <row r="237" spans="1:2" ht="15">
      <c r="A237" s="35"/>
      <c r="B237" s="7"/>
    </row>
    <row r="238" spans="1:2" ht="15">
      <c r="A238" s="35"/>
      <c r="B238" s="7"/>
    </row>
    <row r="239" spans="1:2" ht="15">
      <c r="A239" s="35"/>
      <c r="B239" s="7"/>
    </row>
    <row r="240" spans="1:2" ht="15">
      <c r="A240" s="35"/>
      <c r="B240" s="7"/>
    </row>
    <row r="241" spans="1:2" ht="15">
      <c r="A241" s="35"/>
      <c r="B241" s="7"/>
    </row>
    <row r="242" spans="1:2" ht="15">
      <c r="A242" s="35"/>
      <c r="B242" s="7"/>
    </row>
    <row r="243" spans="1:2" ht="15">
      <c r="A243" s="35"/>
      <c r="B243" s="7"/>
    </row>
    <row r="244" spans="1:2" ht="15">
      <c r="A244" s="35"/>
      <c r="B244" s="7"/>
    </row>
    <row r="245" spans="1:2" ht="15">
      <c r="A245" s="35"/>
      <c r="B245" s="7"/>
    </row>
    <row r="246" spans="1:2" ht="15">
      <c r="A246" s="35"/>
      <c r="B246" s="7"/>
    </row>
    <row r="247" spans="1:2" ht="15">
      <c r="A247" s="35"/>
      <c r="B247" s="7"/>
    </row>
    <row r="248" spans="1:2" ht="15">
      <c r="A248" s="35"/>
      <c r="B248" s="7"/>
    </row>
    <row r="249" spans="1:2" ht="15">
      <c r="A249" s="35"/>
      <c r="B249" s="7"/>
    </row>
    <row r="250" spans="1:2" ht="15">
      <c r="A250" s="35"/>
      <c r="B250" s="7"/>
    </row>
    <row r="251" spans="1:2" ht="15">
      <c r="A251" s="35"/>
      <c r="B251" s="7"/>
    </row>
    <row r="252" spans="1:2" ht="15">
      <c r="A252" s="35"/>
      <c r="B252" s="7"/>
    </row>
    <row r="253" spans="1:2" ht="15">
      <c r="A253" s="35"/>
      <c r="B253" s="7"/>
    </row>
    <row r="254" spans="1:2" ht="15">
      <c r="A254" s="35"/>
      <c r="B254" s="7"/>
    </row>
    <row r="255" spans="1:2" ht="15">
      <c r="A255" s="35"/>
      <c r="B255" s="7"/>
    </row>
    <row r="256" spans="1:2" ht="15">
      <c r="A256" s="35"/>
      <c r="B256" s="7"/>
    </row>
    <row r="257" spans="1:2" ht="15">
      <c r="A257" s="35"/>
      <c r="B257" s="7"/>
    </row>
    <row r="258" spans="1:2" ht="15">
      <c r="A258" s="35"/>
      <c r="B258" s="7"/>
    </row>
  </sheetData>
  <sheetProtection/>
  <printOptions/>
  <pageMargins left="0.1968503937007874" right="0.1968503937007874" top="0.22" bottom="0.17" header="0.19" footer="0.17"/>
  <pageSetup firstPageNumber="2" useFirstPageNumber="1" fitToWidth="3" horizontalDpi="600" verticalDpi="600" orientation="landscape" paperSize="9" scale="7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2012-09-14T11:34:48Z</cp:lastPrinted>
  <dcterms:created xsi:type="dcterms:W3CDTF">2010-09-24T07:39:40Z</dcterms:created>
  <dcterms:modified xsi:type="dcterms:W3CDTF">2012-10-22T12:06:16Z</dcterms:modified>
  <cp:category/>
  <cp:version/>
  <cp:contentType/>
  <cp:contentStatus/>
</cp:coreProperties>
</file>