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-tabela" sheetId="1" r:id="rId1"/>
  </sheets>
  <definedNames>
    <definedName name="_edn1" localSheetId="0">'WPF-tabela'!#REF!</definedName>
    <definedName name="_edn10" localSheetId="0">'WPF-tabela'!#REF!</definedName>
    <definedName name="_edn11" localSheetId="0">'WPF-tabela'!#REF!</definedName>
    <definedName name="_edn12" localSheetId="0">'WPF-tabela'!#REF!</definedName>
    <definedName name="_edn13" localSheetId="0">'WPF-tabela'!#REF!</definedName>
    <definedName name="_edn14" localSheetId="0">'WPF-tabela'!#REF!</definedName>
    <definedName name="_edn15" localSheetId="0">'WPF-tabela'!#REF!</definedName>
    <definedName name="_edn16" localSheetId="0">'WPF-tabela'!#REF!</definedName>
    <definedName name="_edn17" localSheetId="0">'WPF-tabela'!#REF!</definedName>
    <definedName name="_edn2" localSheetId="0">'WPF-tabela'!#REF!</definedName>
    <definedName name="_edn3" localSheetId="0">'WPF-tabela'!#REF!</definedName>
    <definedName name="_edn4" localSheetId="0">'WPF-tabela'!#REF!</definedName>
    <definedName name="_edn5" localSheetId="0">'WPF-tabela'!#REF!</definedName>
    <definedName name="_edn6" localSheetId="0">'WPF-tabela'!#REF!</definedName>
    <definedName name="_edn7" localSheetId="0">'WPF-tabela'!#REF!</definedName>
    <definedName name="_edn8" localSheetId="0">'WPF-tabela'!#REF!</definedName>
    <definedName name="_edn9" localSheetId="0">'WPF-tabela'!#REF!</definedName>
    <definedName name="_ednref1" localSheetId="0">'WPF-tabela'!$B$6</definedName>
    <definedName name="_ednref10" localSheetId="0">'WPF-tabela'!$B$30</definedName>
    <definedName name="_ednref11" localSheetId="0">'WPF-tabela'!$B$31</definedName>
    <definedName name="_ednref12" localSheetId="0">'WPF-tabela'!$B$33</definedName>
    <definedName name="_ednref13" localSheetId="0">'WPF-tabela'!$B$34</definedName>
    <definedName name="_ednref14" localSheetId="0">'WPF-tabela'!$B$35</definedName>
    <definedName name="_ednref15" localSheetId="0">'WPF-tabela'!$B$36</definedName>
    <definedName name="_ednref16" localSheetId="0">'WPF-tabela'!$B$37</definedName>
    <definedName name="_ednref17" localSheetId="0">'WPF-tabela'!$B$38</definedName>
    <definedName name="_ednref2" localSheetId="0">'WPF-tabela'!$B$10</definedName>
    <definedName name="_ednref3" localSheetId="0">'WPF-tabela'!$B$11</definedName>
    <definedName name="_ednref4" localSheetId="0">'WPF-tabela'!$B$12</definedName>
    <definedName name="_ednref5" localSheetId="0">'WPF-tabela'!$B$15</definedName>
    <definedName name="_ednref6" localSheetId="0">'WPF-tabela'!$B$19</definedName>
    <definedName name="_ednref7" localSheetId="0">'WPF-tabela'!$B$26</definedName>
    <definedName name="_ednref8" localSheetId="0">'WPF-tabela'!$B$28</definedName>
    <definedName name="_ednref9" localSheetId="0">'WPF-tabela'!$B$29</definedName>
    <definedName name="_xlnm.Print_Area" localSheetId="0">'WPF-tabela'!$A$1:$AE$51</definedName>
    <definedName name="_xlnm.Print_Titles" localSheetId="0">'WPF-tabela'!$A:$B</definedName>
  </definedNames>
  <calcPr fullCalcOnLoad="1"/>
</workbook>
</file>

<file path=xl/sharedStrings.xml><?xml version="1.0" encoding="utf-8"?>
<sst xmlns="http://schemas.openxmlformats.org/spreadsheetml/2006/main" count="129" uniqueCount="87">
  <si>
    <t>Wyszczególnienie</t>
  </si>
  <si>
    <t>Rok 2012</t>
  </si>
  <si>
    <t>Rok 2014</t>
  </si>
  <si>
    <t>a</t>
  </si>
  <si>
    <t>b</t>
  </si>
  <si>
    <t>c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</si>
  <si>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</si>
  <si>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</si>
  <si>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</si>
  <si>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</si>
  <si>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</si>
  <si>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</si>
  <si>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</si>
  <si>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</si>
  <si>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</si>
  <si>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</si>
  <si>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</si>
  <si>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</si>
  <si>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</si>
  <si>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</si>
  <si>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</si>
  <si>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</si>
  <si>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</si>
  <si>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</si>
  <si>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</si>
  <si>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</si>
  <si>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</si>
  <si>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</si>
  <si>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</si>
  <si>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</si>
  <si>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</si>
  <si>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</si>
  <si>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</si>
  <si>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</si>
  <si>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f</t>
  </si>
  <si>
    <t>nadwyżka bieżąca</t>
  </si>
  <si>
    <t>Rok 2015</t>
  </si>
  <si>
    <t>Rok 2016</t>
  </si>
  <si>
    <r>
      <t>Rok 2017</t>
    </r>
  </si>
  <si>
    <t>Rok 2018</t>
  </si>
  <si>
    <t>Rok 2019</t>
  </si>
  <si>
    <t>Rok 2020</t>
  </si>
  <si>
    <r>
      <t>Rok 2021</t>
    </r>
  </si>
  <si>
    <t>Rok 2022</t>
  </si>
  <si>
    <t>Rok 2023</t>
  </si>
  <si>
    <t>Rok 2024</t>
  </si>
  <si>
    <r>
      <t>Rok 2025</t>
    </r>
  </si>
  <si>
    <t>Rok 2026</t>
  </si>
  <si>
    <t>Rok 2027</t>
  </si>
  <si>
    <t>Rok 2028</t>
  </si>
  <si>
    <r>
      <t>Rok 2029</t>
    </r>
  </si>
  <si>
    <t>Rok 2030</t>
  </si>
  <si>
    <t>Rok 2031</t>
  </si>
  <si>
    <t>Rok 2032</t>
  </si>
  <si>
    <r>
      <t>Rok 2033</t>
    </r>
  </si>
  <si>
    <t>Rok 2034</t>
  </si>
  <si>
    <t>Rok 2035</t>
  </si>
  <si>
    <t>Rok 2036</t>
  </si>
  <si>
    <r>
      <t>Rok 2037</t>
    </r>
  </si>
  <si>
    <t>Rok 2038</t>
  </si>
  <si>
    <t>Rok 2039</t>
  </si>
  <si>
    <t>Wieloletnia Prognoza Finansowa</t>
  </si>
  <si>
    <t>z tytułu gwarancji i poręczeń, w tym:</t>
  </si>
  <si>
    <t>na wynagrodzenia i składki od nich naliczane</t>
  </si>
  <si>
    <t>związane z funkcjonowaniem organów JST</t>
  </si>
  <si>
    <t>Wydatki bieżące (bez odsetek i prowizji od kredytów i pożyczek oraz wyemitowanych papierów wartościowych), w tym:</t>
  </si>
  <si>
    <t xml:space="preserve">Dochody ogółem, w tym: </t>
  </si>
  <si>
    <t>wydatki bieżące objęte limitem art. 226 ust. 4 ufp</t>
  </si>
  <si>
    <t>Inne przychody niezwiązane z zaciągnięciem długu</t>
  </si>
  <si>
    <t>Przychody (kredyty, pożyczki, emisje obligacji)</t>
  </si>
  <si>
    <t>Wynik finansowy budżetu (9-10+11)</t>
  </si>
  <si>
    <t>łączna kwota wyłączeń z art. 243 ust. 3 pkt 1 ufp oraz z art. 170 ust. 3 sufp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</si>
  <si>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</si>
  <si>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</si>
  <si>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 z art. 243 ufp</t>
  </si>
  <si>
    <t>Spełnienie wskaźnika spłaty z art. 243 ufp po uwzględnieniu art. 244 ufp</t>
  </si>
  <si>
    <t>Zadłużenie/dochody ogółem (13 –13a):1) - max 60% z art. 170 sufp</t>
  </si>
  <si>
    <t>Spłata zadłużenia/dochody ogółem (7-13a +2c –2d):1)  - max 15%  z art. 169 sufp</t>
  </si>
  <si>
    <t>Wydatki majątkowe,  w tym:</t>
  </si>
  <si>
    <t>Kwota długu, w tym:</t>
  </si>
  <si>
    <t>gwarancje i poręczenia podlegające wyłączeniu z limitów spłaty zobowiązań z art. 243 ufp / 169 sufp</t>
  </si>
  <si>
    <t>Załącznik Nr 1 do Uchwały</t>
  </si>
  <si>
    <t>Rady Miejskiej w Radomiu</t>
  </si>
  <si>
    <t xml:space="preserve">Rok 2011  </t>
  </si>
  <si>
    <t xml:space="preserve">Rok 2013 </t>
  </si>
  <si>
    <r>
      <t>Zgodny z  art. 243 ufp</t>
    </r>
    <r>
      <rPr>
        <sz val="9"/>
        <rFont val="Arial"/>
        <family val="2"/>
      </rPr>
      <t>/niezgodny z art. 243**</t>
    </r>
  </si>
  <si>
    <r>
      <t>Zgodny z  art. 243 ufp/</t>
    </r>
    <r>
      <rPr>
        <strike/>
        <sz val="9"/>
        <rFont val="Arial"/>
        <family val="2"/>
      </rPr>
      <t>niezgodny z art. 243**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</si>
</sst>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  <numFmt numFmtId="170" formatCode="#,##0.000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sz val="13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trike/>
      <sz val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4" fontId="24" fillId="0" borderId="0" xfId="0" applyNumberFormat="1" applyFont="1" applyAlignment="1">
      <alignment/>
    </xf>
    <xf numFmtId="0" fontId="0" fillId="0" borderId="0" xfId="0" applyFont="1" applyAlignment="1">
      <alignment/>
    </xf>
    <xf numFmtId="0" fontId="26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0" fontId="26" fillId="0" borderId="10" xfId="0" applyFont="1" applyBorder="1" applyAlignment="1">
      <alignment vertical="top" wrapText="1"/>
    </xf>
    <xf numFmtId="4" fontId="27" fillId="24" borderId="11" xfId="0" applyNumberFormat="1" applyFont="1" applyFill="1" applyBorder="1" applyAlignment="1">
      <alignment wrapText="1"/>
    </xf>
    <xf numFmtId="4" fontId="4" fillId="24" borderId="12" xfId="0" applyNumberFormat="1" applyFont="1" applyFill="1" applyBorder="1" applyAlignment="1">
      <alignment wrapText="1"/>
    </xf>
    <xf numFmtId="4" fontId="4" fillId="24" borderId="13" xfId="0" applyNumberFormat="1" applyFont="1" applyFill="1" applyBorder="1" applyAlignment="1">
      <alignment wrapText="1"/>
    </xf>
    <xf numFmtId="4" fontId="4" fillId="24" borderId="14" xfId="0" applyNumberFormat="1" applyFont="1" applyFill="1" applyBorder="1" applyAlignment="1">
      <alignment wrapText="1"/>
    </xf>
    <xf numFmtId="4" fontId="4" fillId="24" borderId="11" xfId="0" applyNumberFormat="1" applyFont="1" applyFill="1" applyBorder="1" applyAlignment="1">
      <alignment wrapText="1"/>
    </xf>
    <xf numFmtId="10" fontId="26" fillId="0" borderId="10" xfId="0" applyNumberFormat="1" applyFont="1" applyBorder="1" applyAlignment="1">
      <alignment/>
    </xf>
    <xf numFmtId="10" fontId="4" fillId="24" borderId="11" xfId="0" applyNumberFormat="1" applyFont="1" applyFill="1" applyBorder="1" applyAlignment="1">
      <alignment wrapText="1"/>
    </xf>
    <xf numFmtId="10" fontId="4" fillId="24" borderId="12" xfId="0" applyNumberFormat="1" applyFont="1" applyFill="1" applyBorder="1" applyAlignment="1">
      <alignment wrapText="1"/>
    </xf>
    <xf numFmtId="10" fontId="4" fillId="24" borderId="14" xfId="0" applyNumberFormat="1" applyFont="1" applyFill="1" applyBorder="1" applyAlignment="1">
      <alignment wrapText="1"/>
    </xf>
    <xf numFmtId="10" fontId="4" fillId="0" borderId="0" xfId="0" applyNumberFormat="1" applyFont="1" applyAlignment="1">
      <alignment/>
    </xf>
    <xf numFmtId="0" fontId="25" fillId="0" borderId="0" xfId="0" applyFont="1" applyFill="1" applyBorder="1" applyAlignment="1">
      <alignment horizontal="justify" vertical="top" wrapText="1"/>
    </xf>
    <xf numFmtId="170" fontId="26" fillId="0" borderId="10" xfId="0" applyNumberFormat="1" applyFont="1" applyBorder="1" applyAlignment="1">
      <alignment/>
    </xf>
    <xf numFmtId="0" fontId="4" fillId="24" borderId="14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170" fontId="4" fillId="24" borderId="14" xfId="0" applyNumberFormat="1" applyFont="1" applyFill="1" applyBorder="1" applyAlignment="1">
      <alignment wrapText="1"/>
    </xf>
    <xf numFmtId="170" fontId="4" fillId="24" borderId="11" xfId="0" applyNumberFormat="1" applyFont="1" applyFill="1" applyBorder="1" applyAlignment="1">
      <alignment wrapText="1"/>
    </xf>
    <xf numFmtId="0" fontId="4" fillId="24" borderId="12" xfId="0" applyFont="1" applyFill="1" applyBorder="1" applyAlignment="1">
      <alignment horizontal="center" vertical="top" wrapText="1"/>
    </xf>
    <xf numFmtId="170" fontId="4" fillId="24" borderId="12" xfId="0" applyNumberFormat="1" applyFont="1" applyFill="1" applyBorder="1" applyAlignment="1">
      <alignment wrapText="1"/>
    </xf>
    <xf numFmtId="4" fontId="27" fillId="24" borderId="12" xfId="0" applyNumberFormat="1" applyFont="1" applyFill="1" applyBorder="1" applyAlignment="1">
      <alignment wrapText="1"/>
    </xf>
    <xf numFmtId="4" fontId="4" fillId="24" borderId="12" xfId="0" applyNumberFormat="1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 wrapText="1"/>
    </xf>
    <xf numFmtId="4" fontId="4" fillId="0" borderId="0" xfId="0" applyNumberFormat="1" applyFont="1" applyAlignment="1">
      <alignment/>
    </xf>
    <xf numFmtId="4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 horizontal="justify" vertical="top" wrapText="1"/>
    </xf>
    <xf numFmtId="4" fontId="26" fillId="0" borderId="10" xfId="0" applyNumberFormat="1" applyFont="1" applyBorder="1" applyAlignment="1">
      <alignment horizontal="justify" wrapText="1"/>
    </xf>
    <xf numFmtId="4" fontId="26" fillId="0" borderId="10" xfId="0" applyNumberFormat="1" applyFont="1" applyBorder="1" applyAlignment="1">
      <alignment wrapText="1"/>
    </xf>
    <xf numFmtId="4" fontId="26" fillId="0" borderId="10" xfId="0" applyNumberFormat="1" applyFont="1" applyBorder="1" applyAlignment="1">
      <alignment vertical="top" wrapText="1"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 horizontal="left"/>
    </xf>
    <xf numFmtId="1" fontId="24" fillId="0" borderId="0" xfId="0" applyNumberFormat="1" applyFont="1" applyAlignment="1">
      <alignment/>
    </xf>
    <xf numFmtId="1" fontId="26" fillId="24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wrapText="1"/>
    </xf>
    <xf numFmtId="1" fontId="25" fillId="0" borderId="0" xfId="0" applyNumberFormat="1" applyFont="1" applyAlignment="1">
      <alignment/>
    </xf>
    <xf numFmtId="1" fontId="24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8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7" sqref="E47"/>
    </sheetView>
  </sheetViews>
  <sheetFormatPr defaultColWidth="9.140625" defaultRowHeight="12.75"/>
  <cols>
    <col min="1" max="1" width="4.8515625" style="49" customWidth="1"/>
    <col min="2" max="2" width="43.8515625" style="5" customWidth="1"/>
    <col min="3" max="4" width="14.7109375" style="4" customWidth="1"/>
    <col min="5" max="6" width="14.7109375" style="8" customWidth="1"/>
    <col min="7" max="8" width="14.7109375" style="4" customWidth="1"/>
    <col min="9" max="10" width="14.7109375" style="5" customWidth="1"/>
    <col min="11" max="31" width="14.7109375" style="9" customWidth="1"/>
    <col min="32" max="16384" width="9.140625" style="9" customWidth="1"/>
  </cols>
  <sheetData>
    <row r="1" spans="1:31" ht="15">
      <c r="A1" s="42" t="s">
        <v>81</v>
      </c>
      <c r="B1" s="4"/>
      <c r="I1" s="4"/>
      <c r="J1" s="4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42" t="s">
        <v>82</v>
      </c>
      <c r="B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43" t="s">
        <v>61</v>
      </c>
      <c r="B3" s="6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44"/>
      <c r="B4" s="4"/>
      <c r="I4" s="4"/>
      <c r="J4" s="4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11" customFormat="1" ht="18" customHeight="1">
      <c r="A5" s="45"/>
      <c r="B5" s="10" t="s">
        <v>0</v>
      </c>
      <c r="C5" s="27" t="s">
        <v>83</v>
      </c>
      <c r="D5" s="30" t="s">
        <v>1</v>
      </c>
      <c r="E5" s="33" t="s">
        <v>84</v>
      </c>
      <c r="F5" s="33" t="s">
        <v>2</v>
      </c>
      <c r="G5" s="34" t="s">
        <v>36</v>
      </c>
      <c r="H5" s="30" t="s">
        <v>37</v>
      </c>
      <c r="I5" s="30" t="s">
        <v>38</v>
      </c>
      <c r="J5" s="30" t="s">
        <v>39</v>
      </c>
      <c r="K5" s="30" t="s">
        <v>40</v>
      </c>
      <c r="L5" s="30" t="s">
        <v>41</v>
      </c>
      <c r="M5" s="30" t="s">
        <v>42</v>
      </c>
      <c r="N5" s="30" t="s">
        <v>43</v>
      </c>
      <c r="O5" s="30" t="s">
        <v>44</v>
      </c>
      <c r="P5" s="30" t="s">
        <v>45</v>
      </c>
      <c r="Q5" s="30" t="s">
        <v>46</v>
      </c>
      <c r="R5" s="30" t="s">
        <v>47</v>
      </c>
      <c r="S5" s="30" t="s">
        <v>48</v>
      </c>
      <c r="T5" s="30" t="s">
        <v>49</v>
      </c>
      <c r="U5" s="30" t="s">
        <v>50</v>
      </c>
      <c r="V5" s="30" t="s">
        <v>51</v>
      </c>
      <c r="W5" s="30" t="s">
        <v>52</v>
      </c>
      <c r="X5" s="30" t="s">
        <v>53</v>
      </c>
      <c r="Y5" s="30" t="s">
        <v>54</v>
      </c>
      <c r="Z5" s="30" t="s">
        <v>55</v>
      </c>
      <c r="AA5" s="30" t="s">
        <v>56</v>
      </c>
      <c r="AB5" s="30" t="s">
        <v>57</v>
      </c>
      <c r="AC5" s="30" t="s">
        <v>58</v>
      </c>
      <c r="AD5" s="30" t="s">
        <v>59</v>
      </c>
      <c r="AE5" s="26" t="s">
        <v>60</v>
      </c>
    </row>
    <row r="6" spans="1:31" s="36" customFormat="1" ht="21" customHeight="1">
      <c r="A6" s="46">
        <v>1</v>
      </c>
      <c r="B6" s="37" t="s">
        <v>66</v>
      </c>
      <c r="C6" s="18">
        <f>SUM(C7:C8)</f>
        <v>894541997</v>
      </c>
      <c r="D6" s="15">
        <f aca="true" t="shared" si="0" ref="D6:W6">+D7+D8</f>
        <v>840429723</v>
      </c>
      <c r="E6" s="15">
        <f t="shared" si="0"/>
        <v>899663344.6604667</v>
      </c>
      <c r="F6" s="15">
        <f t="shared" si="0"/>
        <v>928453153.6952696</v>
      </c>
      <c r="G6" s="16">
        <f t="shared" si="0"/>
        <v>948203295.074678</v>
      </c>
      <c r="H6" s="15">
        <f t="shared" si="0"/>
        <v>985476121.7284224</v>
      </c>
      <c r="I6" s="15">
        <f t="shared" si="0"/>
        <v>1024160522.8885843</v>
      </c>
      <c r="J6" s="15">
        <f t="shared" si="0"/>
        <v>1057768659.481402</v>
      </c>
      <c r="K6" s="15">
        <f t="shared" si="0"/>
        <v>1092442610.2781258</v>
      </c>
      <c r="L6" s="15">
        <f t="shared" si="0"/>
        <v>1128194021.8076055</v>
      </c>
      <c r="M6" s="15">
        <f t="shared" si="0"/>
        <v>1154147303.0404813</v>
      </c>
      <c r="N6" s="15">
        <f t="shared" si="0"/>
        <v>1180740045.8906558</v>
      </c>
      <c r="O6" s="15">
        <f t="shared" si="0"/>
        <v>1206826658.431755</v>
      </c>
      <c r="P6" s="15">
        <f t="shared" si="0"/>
        <v>1233529599.8979304</v>
      </c>
      <c r="Q6" s="15">
        <f t="shared" si="0"/>
        <v>1260862604.7598696</v>
      </c>
      <c r="R6" s="15">
        <f t="shared" si="0"/>
        <v>1288839735.29064</v>
      </c>
      <c r="S6" s="15">
        <f t="shared" si="0"/>
        <v>1317475388.783586</v>
      </c>
      <c r="T6" s="15">
        <f t="shared" si="0"/>
        <v>1345487061.7513964</v>
      </c>
      <c r="U6" s="15">
        <f t="shared" si="0"/>
        <v>1374129766.4886093</v>
      </c>
      <c r="V6" s="15">
        <f t="shared" si="0"/>
        <v>1403416971.9951563</v>
      </c>
      <c r="W6" s="15">
        <f t="shared" si="0"/>
        <v>1433362455.1725402</v>
      </c>
      <c r="X6" s="15">
        <f aca="true" t="shared" si="1" ref="X6:AE6">+X7+X8</f>
        <v>1463980307.2810624</v>
      </c>
      <c r="Y6" s="15">
        <f t="shared" si="1"/>
        <v>1493841192.3896031</v>
      </c>
      <c r="Z6" s="15">
        <f t="shared" si="1"/>
        <v>1524342433.025164</v>
      </c>
      <c r="AA6" s="15">
        <f t="shared" si="1"/>
        <v>1555497091.614891</v>
      </c>
      <c r="AB6" s="15">
        <f t="shared" si="1"/>
        <v>1587318516.0806775</v>
      </c>
      <c r="AC6" s="15">
        <f t="shared" si="1"/>
        <v>1619820345.4448073</v>
      </c>
      <c r="AD6" s="15">
        <f t="shared" si="1"/>
        <v>1653016515.7690945</v>
      </c>
      <c r="AE6" s="17">
        <f t="shared" si="1"/>
        <v>1686921265.9063861</v>
      </c>
    </row>
    <row r="7" spans="1:31" s="36" customFormat="1" ht="12">
      <c r="A7" s="35" t="s">
        <v>3</v>
      </c>
      <c r="B7" s="38" t="s">
        <v>24</v>
      </c>
      <c r="C7" s="18">
        <v>807058990</v>
      </c>
      <c r="D7" s="15">
        <v>806103199</v>
      </c>
      <c r="E7" s="15">
        <v>839162748.4438</v>
      </c>
      <c r="F7" s="15">
        <v>876819939.0481863</v>
      </c>
      <c r="G7" s="16">
        <v>913448974.4395425</v>
      </c>
      <c r="H7" s="15">
        <v>951084854.227623</v>
      </c>
      <c r="I7" s="15">
        <v>990123232.1937623</v>
      </c>
      <c r="J7" s="15">
        <v>1024090301.2678413</v>
      </c>
      <c r="K7" s="15">
        <v>1059113852.3013134</v>
      </c>
      <c r="L7" s="15">
        <v>1095205774.4613862</v>
      </c>
      <c r="M7" s="15">
        <v>1121490713.0484595</v>
      </c>
      <c r="N7" s="15">
        <v>1148406490.1616225</v>
      </c>
      <c r="O7" s="15">
        <v>1174819839.4353397</v>
      </c>
      <c r="P7" s="15">
        <v>1201840695.7423525</v>
      </c>
      <c r="Q7" s="15">
        <v>1229483031.7444265</v>
      </c>
      <c r="R7" s="15">
        <v>1257761141.474548</v>
      </c>
      <c r="S7" s="15">
        <v>1286689647.7284627</v>
      </c>
      <c r="T7" s="15">
        <v>1314996819.978489</v>
      </c>
      <c r="U7" s="15">
        <v>1343926750.0180156</v>
      </c>
      <c r="V7" s="15">
        <v>1373493138.5184119</v>
      </c>
      <c r="W7" s="15">
        <v>1403709987.5658169</v>
      </c>
      <c r="X7" s="15">
        <v>1434591607.3</v>
      </c>
      <c r="Y7" s="15">
        <v>1464718031.0454023</v>
      </c>
      <c r="Z7" s="15">
        <v>1495477109.6973555</v>
      </c>
      <c r="AA7" s="15">
        <v>1526882129.001</v>
      </c>
      <c r="AB7" s="15">
        <v>1558946653.72</v>
      </c>
      <c r="AC7" s="15">
        <v>1591684533.43</v>
      </c>
      <c r="AD7" s="15">
        <v>1625109908.6401274</v>
      </c>
      <c r="AE7" s="17">
        <v>1659237216.72157</v>
      </c>
    </row>
    <row r="8" spans="1:31" s="36" customFormat="1" ht="12">
      <c r="A8" s="35" t="s">
        <v>4</v>
      </c>
      <c r="B8" s="38" t="s">
        <v>25</v>
      </c>
      <c r="C8" s="18">
        <v>87483007</v>
      </c>
      <c r="D8" s="15">
        <v>34326524</v>
      </c>
      <c r="E8" s="15">
        <v>60500596.21666667</v>
      </c>
      <c r="F8" s="15">
        <v>51633214.647083335</v>
      </c>
      <c r="G8" s="16">
        <v>34754320.63513541</v>
      </c>
      <c r="H8" s="15">
        <v>34391267.50079948</v>
      </c>
      <c r="I8" s="15">
        <v>34037290.69482194</v>
      </c>
      <c r="J8" s="15">
        <v>33678358.21356071</v>
      </c>
      <c r="K8" s="15">
        <v>33328757.976812273</v>
      </c>
      <c r="L8" s="15">
        <v>32988247.3462193</v>
      </c>
      <c r="M8" s="15">
        <v>32656589.992021747</v>
      </c>
      <c r="N8" s="15">
        <v>32333555.729033325</v>
      </c>
      <c r="O8" s="15">
        <v>32006818.99641527</v>
      </c>
      <c r="P8" s="15">
        <v>31688904.155577898</v>
      </c>
      <c r="Q8" s="15">
        <v>31379573.01544314</v>
      </c>
      <c r="R8" s="15">
        <v>31078593.816092014</v>
      </c>
      <c r="S8" s="15">
        <v>30785741.055123374</v>
      </c>
      <c r="T8" s="15">
        <v>30490241.772907462</v>
      </c>
      <c r="U8" s="15">
        <v>30203016.470593594</v>
      </c>
      <c r="V8" s="15">
        <v>29923833.476744518</v>
      </c>
      <c r="W8" s="15">
        <v>29652467.60672321</v>
      </c>
      <c r="X8" s="15">
        <v>29388699.9810625</v>
      </c>
      <c r="Y8" s="15">
        <v>29123161.34420093</v>
      </c>
      <c r="Z8" s="15">
        <v>28865323.327808343</v>
      </c>
      <c r="AA8" s="15">
        <v>28614962.61389114</v>
      </c>
      <c r="AB8" s="15">
        <v>28371862.360677537</v>
      </c>
      <c r="AC8" s="15">
        <v>28135812.014807127</v>
      </c>
      <c r="AD8" s="15">
        <v>27906607.128966957</v>
      </c>
      <c r="AE8" s="17">
        <v>27684049.184816156</v>
      </c>
    </row>
    <row r="9" spans="1:31" s="36" customFormat="1" ht="12">
      <c r="A9" s="46" t="s">
        <v>5</v>
      </c>
      <c r="B9" s="38" t="s">
        <v>26</v>
      </c>
      <c r="C9" s="18">
        <v>15657788</v>
      </c>
      <c r="D9" s="15">
        <v>15668100</v>
      </c>
      <c r="E9" s="15">
        <v>15276397.5</v>
      </c>
      <c r="F9" s="15">
        <v>14894487.5625</v>
      </c>
      <c r="G9" s="16">
        <v>14522125.3734375</v>
      </c>
      <c r="H9" s="15">
        <v>14159072.23910156</v>
      </c>
      <c r="I9" s="15">
        <v>13805095.43312402</v>
      </c>
      <c r="J9" s="15">
        <v>13446162.951862793</v>
      </c>
      <c r="K9" s="15">
        <v>13096562.71511436</v>
      </c>
      <c r="L9" s="15">
        <v>12756052.084521387</v>
      </c>
      <c r="M9" s="15">
        <v>12424394.73032383</v>
      </c>
      <c r="N9" s="15">
        <v>12101360.46733541</v>
      </c>
      <c r="O9" s="15">
        <v>11774623.734717354</v>
      </c>
      <c r="P9" s="15">
        <v>11456708.893879985</v>
      </c>
      <c r="Q9" s="15">
        <v>11147377.753745224</v>
      </c>
      <c r="R9" s="15">
        <v>10846398.554394102</v>
      </c>
      <c r="S9" s="15">
        <v>10553545.793425461</v>
      </c>
      <c r="T9" s="15">
        <v>10258046.511209548</v>
      </c>
      <c r="U9" s="15">
        <v>9970821.20889568</v>
      </c>
      <c r="V9" s="15">
        <v>9691638.215046601</v>
      </c>
      <c r="W9" s="15">
        <v>9420272.345025295</v>
      </c>
      <c r="X9" s="15">
        <v>9156504.719364587</v>
      </c>
      <c r="Y9" s="15">
        <v>8890966.082503015</v>
      </c>
      <c r="Z9" s="15">
        <v>8633128.066110428</v>
      </c>
      <c r="AA9" s="15">
        <v>8382767.352193224</v>
      </c>
      <c r="AB9" s="15">
        <v>8139667.098979621</v>
      </c>
      <c r="AC9" s="15">
        <v>7903616.753109211</v>
      </c>
      <c r="AD9" s="15">
        <v>7674411.867269045</v>
      </c>
      <c r="AE9" s="17">
        <v>7451853.923118242</v>
      </c>
    </row>
    <row r="10" spans="1:31" s="36" customFormat="1" ht="36">
      <c r="A10" s="46">
        <v>2</v>
      </c>
      <c r="B10" s="40" t="s">
        <v>65</v>
      </c>
      <c r="C10" s="18">
        <f>(783956270-C23)</f>
        <v>766674860</v>
      </c>
      <c r="D10" s="15">
        <f>SUM(769150984-19346712)</f>
        <v>749804272</v>
      </c>
      <c r="E10" s="15">
        <f>D10*103.5%</f>
        <v>776047421.52</v>
      </c>
      <c r="F10" s="15">
        <f>E10*103.5%</f>
        <v>803209081.2731999</v>
      </c>
      <c r="G10" s="16">
        <f>F10*103.5%</f>
        <v>831321399.1177619</v>
      </c>
      <c r="H10" s="15">
        <f>G10*103.5%</f>
        <v>860417648.0868834</v>
      </c>
      <c r="I10" s="15">
        <f>H10*103.5%</f>
        <v>890532265.7699243</v>
      </c>
      <c r="J10" s="15">
        <f>I10*103.4%</f>
        <v>920810362.8061017</v>
      </c>
      <c r="K10" s="15">
        <f>J10*103.4%</f>
        <v>952117915.1415092</v>
      </c>
      <c r="L10" s="15">
        <f>K10*103.4%</f>
        <v>984489924.2563205</v>
      </c>
      <c r="M10" s="15">
        <f aca="true" t="shared" si="2" ref="M10:N12">L10*102.4%</f>
        <v>1008117682.4384722</v>
      </c>
      <c r="N10" s="15">
        <f t="shared" si="2"/>
        <v>1032312506.8169955</v>
      </c>
      <c r="O10" s="15">
        <f>N10*102.3%</f>
        <v>1056055694.4737864</v>
      </c>
      <c r="P10" s="15">
        <f>O10*102.3%</f>
        <v>1080344975.4466834</v>
      </c>
      <c r="Q10" s="15">
        <f>P10*102.3%</f>
        <v>1105192909.881957</v>
      </c>
      <c r="R10" s="15">
        <f>Q10*102.3%</f>
        <v>1130612346.809242</v>
      </c>
      <c r="S10" s="15">
        <f>R10*102.3%</f>
        <v>1156616430.7858546</v>
      </c>
      <c r="T10" s="15">
        <f aca="true" t="shared" si="3" ref="T10:X12">S10*102.2%</f>
        <v>1182061992.2631433</v>
      </c>
      <c r="U10" s="15">
        <f t="shared" si="3"/>
        <v>1208067356.0929325</v>
      </c>
      <c r="V10" s="15">
        <f t="shared" si="3"/>
        <v>1234644837.926977</v>
      </c>
      <c r="W10" s="15">
        <f t="shared" si="3"/>
        <v>1261807024.3613703</v>
      </c>
      <c r="X10" s="15">
        <f t="shared" si="3"/>
        <v>1289566778.8973205</v>
      </c>
      <c r="Y10" s="15">
        <f>X10*102.1%</f>
        <v>1316647681.2541642</v>
      </c>
      <c r="Z10" s="15">
        <f aca="true" t="shared" si="4" ref="Z10:AE10">Y10*102.1%</f>
        <v>1344297282.5605016</v>
      </c>
      <c r="AA10" s="15">
        <f t="shared" si="4"/>
        <v>1372527525.494272</v>
      </c>
      <c r="AB10" s="15">
        <f t="shared" si="4"/>
        <v>1401350603.5296516</v>
      </c>
      <c r="AC10" s="15">
        <f t="shared" si="4"/>
        <v>1430778966.2037742</v>
      </c>
      <c r="AD10" s="15">
        <f t="shared" si="4"/>
        <v>1460825324.4940534</v>
      </c>
      <c r="AE10" s="17">
        <f t="shared" si="4"/>
        <v>1491502656.3084283</v>
      </c>
    </row>
    <row r="11" spans="1:31" s="36" customFormat="1" ht="12">
      <c r="A11" s="46" t="s">
        <v>3</v>
      </c>
      <c r="B11" s="37" t="s">
        <v>63</v>
      </c>
      <c r="C11" s="18">
        <v>395254715</v>
      </c>
      <c r="D11" s="15">
        <v>401851522</v>
      </c>
      <c r="E11" s="15">
        <f aca="true" t="shared" si="5" ref="E11:I12">D11*102.5%</f>
        <v>411897810.04999995</v>
      </c>
      <c r="F11" s="15">
        <f t="shared" si="5"/>
        <v>422195255.3012499</v>
      </c>
      <c r="G11" s="16">
        <f t="shared" si="5"/>
        <v>432750136.68378115</v>
      </c>
      <c r="H11" s="15">
        <f t="shared" si="5"/>
        <v>443568890.1008756</v>
      </c>
      <c r="I11" s="15">
        <f t="shared" si="5"/>
        <v>454658112.3533975</v>
      </c>
      <c r="J11" s="15">
        <f aca="true" t="shared" si="6" ref="J11:L12">I11*102.4%</f>
        <v>465569907.049879</v>
      </c>
      <c r="K11" s="15">
        <f t="shared" si="6"/>
        <v>476743584.8190761</v>
      </c>
      <c r="L11" s="15">
        <f t="shared" si="6"/>
        <v>488185430.85473394</v>
      </c>
      <c r="M11" s="15">
        <f t="shared" si="2"/>
        <v>499901881.1952476</v>
      </c>
      <c r="N11" s="15">
        <f t="shared" si="2"/>
        <v>511899526.3439335</v>
      </c>
      <c r="O11" s="15">
        <f>N11*102.3%</f>
        <v>523673215.44984394</v>
      </c>
      <c r="P11" s="15">
        <f>O11*102.3%</f>
        <v>535717699.4051903</v>
      </c>
      <c r="Q11" s="15">
        <f>P11*103.5%</f>
        <v>554467818.8843719</v>
      </c>
      <c r="R11" s="15">
        <f>Q11*102.3%</f>
        <v>567220578.7187123</v>
      </c>
      <c r="S11" s="15">
        <f>R11*102.3%</f>
        <v>580266652.0292426</v>
      </c>
      <c r="T11" s="15">
        <f t="shared" si="3"/>
        <v>593032518.373886</v>
      </c>
      <c r="U11" s="15">
        <f t="shared" si="3"/>
        <v>606079233.7781115</v>
      </c>
      <c r="V11" s="15">
        <f t="shared" si="3"/>
        <v>619412976.92123</v>
      </c>
      <c r="W11" s="15">
        <f t="shared" si="3"/>
        <v>633040062.413497</v>
      </c>
      <c r="X11" s="15">
        <f t="shared" si="3"/>
        <v>646966943.7865939</v>
      </c>
      <c r="Y11" s="15">
        <f aca="true" t="shared" si="7" ref="Y11:AE12">X11*102.1%</f>
        <v>660553249.6061124</v>
      </c>
      <c r="Z11" s="15">
        <f t="shared" si="7"/>
        <v>674424867.8478407</v>
      </c>
      <c r="AA11" s="15">
        <f t="shared" si="7"/>
        <v>688587790.0726453</v>
      </c>
      <c r="AB11" s="15">
        <f t="shared" si="7"/>
        <v>703048133.6641707</v>
      </c>
      <c r="AC11" s="15">
        <f t="shared" si="7"/>
        <v>717812144.4711182</v>
      </c>
      <c r="AD11" s="15">
        <f t="shared" si="7"/>
        <v>732886199.5050117</v>
      </c>
      <c r="AE11" s="17">
        <f t="shared" si="7"/>
        <v>748276809.6946169</v>
      </c>
    </row>
    <row r="12" spans="1:31" s="36" customFormat="1" ht="12">
      <c r="A12" s="46" t="s">
        <v>4</v>
      </c>
      <c r="B12" s="37" t="s">
        <v>64</v>
      </c>
      <c r="C12" s="18">
        <v>40380930</v>
      </c>
      <c r="D12" s="15">
        <v>41277496</v>
      </c>
      <c r="E12" s="15">
        <f t="shared" si="5"/>
        <v>42309433.4</v>
      </c>
      <c r="F12" s="15">
        <f t="shared" si="5"/>
        <v>43367169.23499999</v>
      </c>
      <c r="G12" s="16">
        <f t="shared" si="5"/>
        <v>44451348.465874985</v>
      </c>
      <c r="H12" s="15">
        <f t="shared" si="5"/>
        <v>45562632.177521855</v>
      </c>
      <c r="I12" s="15">
        <f t="shared" si="5"/>
        <v>46701697.981959894</v>
      </c>
      <c r="J12" s="15">
        <f t="shared" si="6"/>
        <v>47822538.73352693</v>
      </c>
      <c r="K12" s="15">
        <f t="shared" si="6"/>
        <v>48970279.66313158</v>
      </c>
      <c r="L12" s="15">
        <f t="shared" si="6"/>
        <v>50145566.37504674</v>
      </c>
      <c r="M12" s="15">
        <f t="shared" si="2"/>
        <v>51349059.96804786</v>
      </c>
      <c r="N12" s="15">
        <f t="shared" si="2"/>
        <v>52581437.407281004</v>
      </c>
      <c r="O12" s="15">
        <f>N12*102.3%</f>
        <v>53790810.46764846</v>
      </c>
      <c r="P12" s="15">
        <f>O12*102.3%</f>
        <v>55027999.10840437</v>
      </c>
      <c r="Q12" s="15">
        <f>P12*103.5%</f>
        <v>56953979.07719852</v>
      </c>
      <c r="R12" s="15">
        <f>Q12*102.3%</f>
        <v>58263920.59597408</v>
      </c>
      <c r="S12" s="15">
        <f>R12*102.3%</f>
        <v>59603990.769681476</v>
      </c>
      <c r="T12" s="15">
        <f t="shared" si="3"/>
        <v>60915278.56661447</v>
      </c>
      <c r="U12" s="15">
        <f t="shared" si="3"/>
        <v>62255414.69507999</v>
      </c>
      <c r="V12" s="15">
        <f t="shared" si="3"/>
        <v>63625033.81837175</v>
      </c>
      <c r="W12" s="15">
        <f t="shared" si="3"/>
        <v>65024784.56237593</v>
      </c>
      <c r="X12" s="15">
        <f t="shared" si="3"/>
        <v>66455329.82274821</v>
      </c>
      <c r="Y12" s="15">
        <f t="shared" si="7"/>
        <v>67850891.74902591</v>
      </c>
      <c r="Z12" s="15">
        <f t="shared" si="7"/>
        <v>69275760.47575545</v>
      </c>
      <c r="AA12" s="15">
        <f t="shared" si="7"/>
        <v>70730551.44574632</v>
      </c>
      <c r="AB12" s="15">
        <f t="shared" si="7"/>
        <v>72215893.02610698</v>
      </c>
      <c r="AC12" s="15">
        <f t="shared" si="7"/>
        <v>73732426.77965522</v>
      </c>
      <c r="AD12" s="15">
        <f t="shared" si="7"/>
        <v>75280807.74202797</v>
      </c>
      <c r="AE12" s="17">
        <f t="shared" si="7"/>
        <v>76861704.70461054</v>
      </c>
    </row>
    <row r="13" spans="1:31" s="36" customFormat="1" ht="12">
      <c r="A13" s="46" t="s">
        <v>5</v>
      </c>
      <c r="B13" s="38" t="s">
        <v>62</v>
      </c>
      <c r="C13" s="18">
        <v>1159000</v>
      </c>
      <c r="D13" s="15">
        <v>1984931</v>
      </c>
      <c r="E13" s="15">
        <v>2030924</v>
      </c>
      <c r="F13" s="15">
        <v>2036239</v>
      </c>
      <c r="G13" s="16">
        <v>2041686</v>
      </c>
      <c r="H13" s="15">
        <v>2046569</v>
      </c>
      <c r="I13" s="15">
        <v>2051133</v>
      </c>
      <c r="J13" s="15">
        <v>2055789</v>
      </c>
      <c r="K13" s="15">
        <v>1902188</v>
      </c>
      <c r="L13" s="15">
        <v>1817369</v>
      </c>
      <c r="M13" s="15">
        <v>1670335</v>
      </c>
      <c r="N13" s="15">
        <v>1513945</v>
      </c>
      <c r="O13" s="15">
        <v>1347783</v>
      </c>
      <c r="P13" s="15">
        <v>1171422</v>
      </c>
      <c r="Q13" s="15">
        <v>984418</v>
      </c>
      <c r="R13" s="15">
        <v>786309</v>
      </c>
      <c r="S13" s="15">
        <v>576615</v>
      </c>
      <c r="T13" s="15">
        <v>354837</v>
      </c>
      <c r="U13" s="15">
        <v>295226</v>
      </c>
      <c r="V13" s="15">
        <v>301130</v>
      </c>
      <c r="W13" s="15">
        <v>307153</v>
      </c>
      <c r="X13" s="15">
        <v>313296</v>
      </c>
      <c r="Y13" s="15">
        <v>319561</v>
      </c>
      <c r="Z13" s="15">
        <v>139191</v>
      </c>
      <c r="AA13" s="15">
        <v>0</v>
      </c>
      <c r="AB13" s="15">
        <v>0</v>
      </c>
      <c r="AC13" s="15">
        <v>0</v>
      </c>
      <c r="AD13" s="15">
        <v>0</v>
      </c>
      <c r="AE13" s="17">
        <v>0</v>
      </c>
    </row>
    <row r="14" spans="1:31" s="36" customFormat="1" ht="24">
      <c r="A14" s="46" t="s">
        <v>6</v>
      </c>
      <c r="B14" s="38" t="s">
        <v>80</v>
      </c>
      <c r="C14" s="18">
        <v>0</v>
      </c>
      <c r="D14" s="15">
        <v>0</v>
      </c>
      <c r="E14" s="15">
        <v>0</v>
      </c>
      <c r="F14" s="15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7">
        <v>0</v>
      </c>
    </row>
    <row r="15" spans="1:31" s="36" customFormat="1" ht="12">
      <c r="A15" s="46" t="s">
        <v>7</v>
      </c>
      <c r="B15" s="37" t="s">
        <v>67</v>
      </c>
      <c r="C15" s="18">
        <v>96449744</v>
      </c>
      <c r="D15" s="15">
        <v>100379083</v>
      </c>
      <c r="E15" s="15">
        <v>90136216</v>
      </c>
      <c r="F15" s="15">
        <v>79112746</v>
      </c>
      <c r="G15" s="16">
        <v>89495010</v>
      </c>
      <c r="H15" s="15">
        <v>46950253</v>
      </c>
      <c r="I15" s="15">
        <v>45231027</v>
      </c>
      <c r="J15" s="15">
        <v>43352497</v>
      </c>
      <c r="K15" s="15">
        <v>31866513</v>
      </c>
      <c r="L15" s="15">
        <v>30030309</v>
      </c>
      <c r="M15" s="15">
        <v>28098777</v>
      </c>
      <c r="N15" s="15">
        <v>26244199</v>
      </c>
      <c r="O15" s="15">
        <v>24700183</v>
      </c>
      <c r="P15" s="15">
        <v>23657192</v>
      </c>
      <c r="Q15" s="15">
        <v>22708986</v>
      </c>
      <c r="R15" s="15">
        <v>21809426</v>
      </c>
      <c r="S15" s="15">
        <v>21048419</v>
      </c>
      <c r="T15" s="15">
        <v>20377528</v>
      </c>
      <c r="U15" s="15">
        <v>19864236</v>
      </c>
      <c r="V15" s="15">
        <v>19301130</v>
      </c>
      <c r="W15" s="15">
        <v>19307153</v>
      </c>
      <c r="X15" s="15">
        <v>19313296</v>
      </c>
      <c r="Y15" s="15">
        <v>19319561</v>
      </c>
      <c r="Z15" s="15">
        <v>19139191</v>
      </c>
      <c r="AA15" s="15">
        <v>19000000</v>
      </c>
      <c r="AB15" s="15">
        <v>19000000</v>
      </c>
      <c r="AC15" s="15">
        <v>19000000</v>
      </c>
      <c r="AD15" s="15">
        <v>19000000</v>
      </c>
      <c r="AE15" s="17">
        <v>19000000</v>
      </c>
    </row>
    <row r="16" spans="1:31" s="36" customFormat="1" ht="24">
      <c r="A16" s="46">
        <v>3</v>
      </c>
      <c r="B16" s="38" t="s">
        <v>22</v>
      </c>
      <c r="C16" s="18">
        <f>+C6-C10</f>
        <v>127867137</v>
      </c>
      <c r="D16" s="15">
        <f>+D6-D10</f>
        <v>90625451</v>
      </c>
      <c r="E16" s="15">
        <f>+E6-E10</f>
        <v>123615923.14046669</v>
      </c>
      <c r="F16" s="15">
        <f>+F6-F10</f>
        <v>125244072.42206967</v>
      </c>
      <c r="G16" s="16">
        <f>+G6-G10</f>
        <v>116881895.9569161</v>
      </c>
      <c r="H16" s="15">
        <f aca="true" t="shared" si="8" ref="H16:AE16">+H6-H10</f>
        <v>125058473.64153898</v>
      </c>
      <c r="I16" s="15">
        <f t="shared" si="8"/>
        <v>133628257.11865997</v>
      </c>
      <c r="J16" s="15">
        <f t="shared" si="8"/>
        <v>136958296.67530036</v>
      </c>
      <c r="K16" s="15">
        <f t="shared" si="8"/>
        <v>140324695.1366166</v>
      </c>
      <c r="L16" s="15">
        <f t="shared" si="8"/>
        <v>143704097.55128503</v>
      </c>
      <c r="M16" s="15">
        <f t="shared" si="8"/>
        <v>146029620.60200918</v>
      </c>
      <c r="N16" s="15">
        <f t="shared" si="8"/>
        <v>148427539.07366025</v>
      </c>
      <c r="O16" s="15">
        <f t="shared" si="8"/>
        <v>150770963.9579687</v>
      </c>
      <c r="P16" s="15">
        <f t="shared" si="8"/>
        <v>153184624.45124698</v>
      </c>
      <c r="Q16" s="15">
        <f t="shared" si="8"/>
        <v>155669694.87791252</v>
      </c>
      <c r="R16" s="15">
        <f t="shared" si="8"/>
        <v>158227388.4813981</v>
      </c>
      <c r="S16" s="15">
        <f t="shared" si="8"/>
        <v>160858957.99773145</v>
      </c>
      <c r="T16" s="15">
        <f t="shared" si="8"/>
        <v>163425069.48825312</v>
      </c>
      <c r="U16" s="15">
        <f t="shared" si="8"/>
        <v>166062410.39567685</v>
      </c>
      <c r="V16" s="15">
        <f t="shared" si="8"/>
        <v>168772134.06817937</v>
      </c>
      <c r="W16" s="15">
        <f t="shared" si="8"/>
        <v>171555430.81116986</v>
      </c>
      <c r="X16" s="15">
        <f t="shared" si="8"/>
        <v>174413528.38374186</v>
      </c>
      <c r="Y16" s="15">
        <f t="shared" si="8"/>
        <v>177193511.13543892</v>
      </c>
      <c r="Z16" s="15">
        <f t="shared" si="8"/>
        <v>180045150.4646623</v>
      </c>
      <c r="AA16" s="15">
        <f t="shared" si="8"/>
        <v>182969566.12061906</v>
      </c>
      <c r="AB16" s="15">
        <f t="shared" si="8"/>
        <v>185967912.55102587</v>
      </c>
      <c r="AC16" s="15">
        <f t="shared" si="8"/>
        <v>189041379.24103308</v>
      </c>
      <c r="AD16" s="15">
        <f t="shared" si="8"/>
        <v>192191191.2750411</v>
      </c>
      <c r="AE16" s="17">
        <f t="shared" si="8"/>
        <v>195418609.59795785</v>
      </c>
    </row>
    <row r="17" spans="1:31" s="36" customFormat="1" ht="24">
      <c r="A17" s="46">
        <v>4</v>
      </c>
      <c r="B17" s="38" t="s">
        <v>27</v>
      </c>
      <c r="C17" s="18">
        <v>2695755</v>
      </c>
      <c r="D17" s="15">
        <f>C29</f>
        <v>2597913</v>
      </c>
      <c r="E17" s="15">
        <f>D29</f>
        <v>221534</v>
      </c>
      <c r="F17" s="15">
        <f>E29</f>
        <v>0.00046668946743011475</v>
      </c>
      <c r="G17" s="16">
        <f>F29</f>
        <v>0.0025363564491271973</v>
      </c>
      <c r="H17" s="15">
        <f aca="true" t="shared" si="9" ref="H17:AE17">G29</f>
        <v>-0.0005475431680679321</v>
      </c>
      <c r="I17" s="15">
        <f t="shared" si="9"/>
        <v>0.00099143385887146</v>
      </c>
      <c r="J17" s="15">
        <f t="shared" si="9"/>
        <v>-0.0003485828638076782</v>
      </c>
      <c r="K17" s="15">
        <f t="shared" si="9"/>
        <v>0.004951775074005127</v>
      </c>
      <c r="L17" s="15">
        <f t="shared" si="9"/>
        <v>0.0015683472156524658</v>
      </c>
      <c r="M17" s="15">
        <f t="shared" si="9"/>
        <v>0.002853378653526306</v>
      </c>
      <c r="N17" s="15">
        <f t="shared" si="9"/>
        <v>0.004862576723098755</v>
      </c>
      <c r="O17" s="15">
        <f t="shared" si="9"/>
        <v>-0.001477167010307312</v>
      </c>
      <c r="P17" s="15">
        <f t="shared" si="9"/>
        <v>-0.0035084784030914307</v>
      </c>
      <c r="Q17" s="15">
        <f t="shared" si="9"/>
        <v>-0.0022615045309066772</v>
      </c>
      <c r="R17" s="15">
        <f t="shared" si="9"/>
        <v>-0.004349008202552795</v>
      </c>
      <c r="S17" s="15">
        <f t="shared" si="9"/>
        <v>-0.002950906753540039</v>
      </c>
      <c r="T17" s="15">
        <f t="shared" si="9"/>
        <v>0.00478053092956543</v>
      </c>
      <c r="U17" s="15">
        <f t="shared" si="9"/>
        <v>0.0030336380004882812</v>
      </c>
      <c r="V17" s="15">
        <f t="shared" si="9"/>
        <v>-0.0012895166873931885</v>
      </c>
      <c r="W17" s="15">
        <f t="shared" si="9"/>
        <v>-0.003110140562057495</v>
      </c>
      <c r="X17" s="15">
        <f t="shared" si="9"/>
        <v>-0.0019402801990509033</v>
      </c>
      <c r="Y17" s="15">
        <f t="shared" si="9"/>
        <v>0.0018015801906585693</v>
      </c>
      <c r="Z17" s="15">
        <f t="shared" si="9"/>
        <v>-0.002759486436843872</v>
      </c>
      <c r="AA17" s="15">
        <f t="shared" si="9"/>
        <v>0.0019028186798095703</v>
      </c>
      <c r="AB17" s="15">
        <f t="shared" si="9"/>
        <v>0.0025218725204467773</v>
      </c>
      <c r="AC17" s="15">
        <f t="shared" si="9"/>
        <v>0.0035477280616760254</v>
      </c>
      <c r="AD17" s="15">
        <f t="shared" si="9"/>
        <v>0.004580795764923096</v>
      </c>
      <c r="AE17" s="17">
        <f t="shared" si="9"/>
        <v>-0.00037810206413269043</v>
      </c>
    </row>
    <row r="18" spans="1:31" s="36" customFormat="1" ht="36">
      <c r="A18" s="46" t="s">
        <v>3</v>
      </c>
      <c r="B18" s="41" t="s">
        <v>28</v>
      </c>
      <c r="C18" s="18"/>
      <c r="D18" s="15">
        <v>0</v>
      </c>
      <c r="E18" s="15">
        <v>0</v>
      </c>
      <c r="F18" s="15"/>
      <c r="G18" s="1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7"/>
    </row>
    <row r="19" spans="1:31" s="36" customFormat="1" ht="12">
      <c r="A19" s="46">
        <v>5</v>
      </c>
      <c r="B19" s="37" t="s">
        <v>68</v>
      </c>
      <c r="C19" s="18">
        <v>6000000</v>
      </c>
      <c r="D19" s="15">
        <v>5000000</v>
      </c>
      <c r="E19" s="15">
        <v>0</v>
      </c>
      <c r="F19" s="15">
        <v>0</v>
      </c>
      <c r="G19" s="16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6">
        <v>0</v>
      </c>
      <c r="AB19" s="15">
        <v>0</v>
      </c>
      <c r="AC19" s="15">
        <v>0</v>
      </c>
      <c r="AD19" s="15">
        <v>0</v>
      </c>
      <c r="AE19" s="17">
        <v>0</v>
      </c>
    </row>
    <row r="20" spans="1:31" s="36" customFormat="1" ht="12">
      <c r="A20" s="46">
        <v>6</v>
      </c>
      <c r="B20" s="38" t="s">
        <v>8</v>
      </c>
      <c r="C20" s="18">
        <f>+C16+C17+C19</f>
        <v>136562892</v>
      </c>
      <c r="D20" s="15">
        <f>+D16+D17+D19</f>
        <v>98223364</v>
      </c>
      <c r="E20" s="15">
        <f>+E16+E17+E19</f>
        <v>123837457.14046669</v>
      </c>
      <c r="F20" s="15">
        <f>+F16+F17+F19</f>
        <v>125244072.42253636</v>
      </c>
      <c r="G20" s="16">
        <f>+G16+G17+G19</f>
        <v>116881895.95945245</v>
      </c>
      <c r="H20" s="15">
        <f aca="true" t="shared" si="10" ref="H20:AE20">+H16+H17+H19</f>
        <v>125058473.64099143</v>
      </c>
      <c r="I20" s="15">
        <f t="shared" si="10"/>
        <v>133628257.1196514</v>
      </c>
      <c r="J20" s="15">
        <f t="shared" si="10"/>
        <v>136958296.6749518</v>
      </c>
      <c r="K20" s="15">
        <f t="shared" si="10"/>
        <v>140324695.14156836</v>
      </c>
      <c r="L20" s="15">
        <f t="shared" si="10"/>
        <v>143704097.55285338</v>
      </c>
      <c r="M20" s="15">
        <f t="shared" si="10"/>
        <v>146029620.60486257</v>
      </c>
      <c r="N20" s="15">
        <f t="shared" si="10"/>
        <v>148427539.07852283</v>
      </c>
      <c r="O20" s="15">
        <f t="shared" si="10"/>
        <v>150770963.95649153</v>
      </c>
      <c r="P20" s="15">
        <f t="shared" si="10"/>
        <v>153184624.4477385</v>
      </c>
      <c r="Q20" s="15">
        <f t="shared" si="10"/>
        <v>155669694.875651</v>
      </c>
      <c r="R20" s="15">
        <f t="shared" si="10"/>
        <v>158227388.4770491</v>
      </c>
      <c r="S20" s="15">
        <f t="shared" si="10"/>
        <v>160858957.99478054</v>
      </c>
      <c r="T20" s="15">
        <f t="shared" si="10"/>
        <v>163425069.49303365</v>
      </c>
      <c r="U20" s="15">
        <f t="shared" si="10"/>
        <v>166062410.3987105</v>
      </c>
      <c r="V20" s="15">
        <f t="shared" si="10"/>
        <v>168772134.06688985</v>
      </c>
      <c r="W20" s="15">
        <f t="shared" si="10"/>
        <v>171555430.80805972</v>
      </c>
      <c r="X20" s="15">
        <f t="shared" si="10"/>
        <v>174413528.38180158</v>
      </c>
      <c r="Y20" s="15">
        <f t="shared" si="10"/>
        <v>177193511.1372405</v>
      </c>
      <c r="Z20" s="15">
        <f t="shared" si="10"/>
        <v>180045150.46190283</v>
      </c>
      <c r="AA20" s="16">
        <f t="shared" si="10"/>
        <v>182969566.12252188</v>
      </c>
      <c r="AB20" s="15">
        <f t="shared" si="10"/>
        <v>185967912.55354774</v>
      </c>
      <c r="AC20" s="15">
        <f t="shared" si="10"/>
        <v>189041379.2445808</v>
      </c>
      <c r="AD20" s="15">
        <f t="shared" si="10"/>
        <v>192191191.2796219</v>
      </c>
      <c r="AE20" s="17">
        <f t="shared" si="10"/>
        <v>195418609.59757975</v>
      </c>
    </row>
    <row r="21" spans="1:31" s="36" customFormat="1" ht="12">
      <c r="A21" s="46">
        <v>7</v>
      </c>
      <c r="B21" s="38" t="s">
        <v>23</v>
      </c>
      <c r="C21" s="18">
        <f>+C22+C23</f>
        <v>91746985</v>
      </c>
      <c r="D21" s="15">
        <f>+D22+D23</f>
        <v>71218855</v>
      </c>
      <c r="E21" s="15">
        <f>+E22+E23</f>
        <v>67608147</v>
      </c>
      <c r="F21" s="15">
        <f>+F22+F23</f>
        <v>48413018.84</v>
      </c>
      <c r="G21" s="16">
        <f>+G22+G23</f>
        <v>58272483.20999999</v>
      </c>
      <c r="H21" s="15">
        <f aca="true" t="shared" si="11" ref="H21:AE21">+H22+H23</f>
        <v>52839720</v>
      </c>
      <c r="I21" s="15">
        <f t="shared" si="11"/>
        <v>57209180.92</v>
      </c>
      <c r="J21" s="15">
        <f t="shared" si="11"/>
        <v>57435662.17</v>
      </c>
      <c r="K21" s="15">
        <f t="shared" si="11"/>
        <v>57674749.550000004</v>
      </c>
      <c r="L21" s="15">
        <f t="shared" si="11"/>
        <v>58929623.54</v>
      </c>
      <c r="M21" s="15">
        <f t="shared" si="11"/>
        <v>58153157.17</v>
      </c>
      <c r="N21" s="15">
        <f t="shared" si="11"/>
        <v>41456882.22</v>
      </c>
      <c r="O21" s="15">
        <f t="shared" si="11"/>
        <v>29085020.96</v>
      </c>
      <c r="P21" s="15">
        <f t="shared" si="11"/>
        <v>23218391.28</v>
      </c>
      <c r="Q21" s="15">
        <f t="shared" si="11"/>
        <v>22457189.87</v>
      </c>
      <c r="R21" s="15">
        <f t="shared" si="11"/>
        <v>19755738.580000002</v>
      </c>
      <c r="S21" s="15">
        <f t="shared" si="11"/>
        <v>15204425.27</v>
      </c>
      <c r="T21" s="15">
        <f t="shared" si="11"/>
        <v>14755312.43</v>
      </c>
      <c r="U21" s="15">
        <f t="shared" si="11"/>
        <v>14080097.86</v>
      </c>
      <c r="V21" s="15">
        <f t="shared" si="11"/>
        <v>0</v>
      </c>
      <c r="W21" s="15">
        <f t="shared" si="11"/>
        <v>0</v>
      </c>
      <c r="X21" s="15">
        <f t="shared" si="11"/>
        <v>0</v>
      </c>
      <c r="Y21" s="15">
        <f t="shared" si="11"/>
        <v>0</v>
      </c>
      <c r="Z21" s="15">
        <f t="shared" si="11"/>
        <v>0</v>
      </c>
      <c r="AA21" s="16">
        <f t="shared" si="11"/>
        <v>0</v>
      </c>
      <c r="AB21" s="15">
        <f t="shared" si="11"/>
        <v>0</v>
      </c>
      <c r="AC21" s="15">
        <f t="shared" si="11"/>
        <v>0</v>
      </c>
      <c r="AD21" s="15">
        <f t="shared" si="11"/>
        <v>0</v>
      </c>
      <c r="AE21" s="17">
        <f t="shared" si="11"/>
        <v>0</v>
      </c>
    </row>
    <row r="22" spans="1:31" s="36" customFormat="1" ht="24.75" customHeight="1">
      <c r="A22" s="46" t="s">
        <v>3</v>
      </c>
      <c r="B22" s="38" t="s">
        <v>29</v>
      </c>
      <c r="C22" s="18">
        <f>74722718-257143</f>
        <v>74465575</v>
      </c>
      <c r="D22" s="15">
        <v>51872143</v>
      </c>
      <c r="E22" s="15">
        <v>47000000</v>
      </c>
      <c r="F22" s="15">
        <v>29064516.13</v>
      </c>
      <c r="G22" s="16">
        <f>40729032.26</f>
        <v>40729032.26</v>
      </c>
      <c r="H22" s="15">
        <f>36682373.12-5228.24</f>
        <v>36677144.879999995</v>
      </c>
      <c r="I22" s="15">
        <f>40732621.42+2000000</f>
        <v>42732621.42</v>
      </c>
      <c r="J22" s="15">
        <f>40732621.42+2000000+2000000</f>
        <v>44732621.42</v>
      </c>
      <c r="K22" s="15">
        <f>46732621.42</f>
        <v>46732621.42</v>
      </c>
      <c r="L22" s="15">
        <f>49732621.42</f>
        <v>49732621.42</v>
      </c>
      <c r="M22" s="15">
        <v>50732621.42</v>
      </c>
      <c r="N22" s="15">
        <v>35732621.42</v>
      </c>
      <c r="O22" s="15">
        <v>24732621.42</v>
      </c>
      <c r="P22" s="15">
        <v>19732621.42</v>
      </c>
      <c r="Q22" s="15">
        <v>19732621.42</v>
      </c>
      <c r="R22" s="15">
        <v>17732621.42</v>
      </c>
      <c r="S22" s="15">
        <v>13732621.42</v>
      </c>
      <c r="T22" s="15">
        <v>13732621.42</v>
      </c>
      <c r="U22" s="15">
        <v>13511087.42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6">
        <v>0</v>
      </c>
      <c r="AB22" s="15">
        <v>0</v>
      </c>
      <c r="AC22" s="15">
        <v>0</v>
      </c>
      <c r="AD22" s="15">
        <v>0</v>
      </c>
      <c r="AE22" s="17">
        <v>0</v>
      </c>
    </row>
    <row r="23" spans="1:31" s="36" customFormat="1" ht="12">
      <c r="A23" s="46" t="s">
        <v>4</v>
      </c>
      <c r="B23" s="38" t="s">
        <v>30</v>
      </c>
      <c r="C23" s="18">
        <v>17281410</v>
      </c>
      <c r="D23" s="15">
        <v>19346712</v>
      </c>
      <c r="E23" s="15">
        <v>20608147</v>
      </c>
      <c r="F23" s="15">
        <v>19348502.71</v>
      </c>
      <c r="G23" s="15">
        <v>17543450.95</v>
      </c>
      <c r="H23" s="15">
        <f>14890098.4+1001736.99+270739.73</f>
        <v>16162575.120000001</v>
      </c>
      <c r="I23" s="15">
        <f>12912696.49+821282.19+476854.79+265726.03</f>
        <v>14476559.499999998</v>
      </c>
      <c r="J23" s="15">
        <f>10960827.06+649786.3+363857.53+467857.53+260712.33</f>
        <v>12703040.75</v>
      </c>
      <c r="K23" s="15">
        <v>10942128.13</v>
      </c>
      <c r="L23" s="15">
        <v>9197002.12</v>
      </c>
      <c r="M23" s="15">
        <v>7420535.75</v>
      </c>
      <c r="N23" s="15">
        <v>5724260.8</v>
      </c>
      <c r="O23" s="15">
        <v>4352399.54</v>
      </c>
      <c r="P23" s="15">
        <v>3485769.86</v>
      </c>
      <c r="Q23" s="15">
        <v>2724568.45</v>
      </c>
      <c r="R23" s="15">
        <v>2023117.16</v>
      </c>
      <c r="S23" s="15">
        <v>1471803.85</v>
      </c>
      <c r="T23" s="15">
        <v>1022691.01</v>
      </c>
      <c r="U23" s="15">
        <v>569010.44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6">
        <v>0</v>
      </c>
      <c r="AB23" s="15">
        <v>0</v>
      </c>
      <c r="AC23" s="15">
        <v>0</v>
      </c>
      <c r="AD23" s="15">
        <v>0</v>
      </c>
      <c r="AE23" s="17">
        <v>0</v>
      </c>
    </row>
    <row r="24" spans="1:31" s="36" customFormat="1" ht="25.5" customHeight="1">
      <c r="A24" s="46">
        <v>8</v>
      </c>
      <c r="B24" s="38" t="s">
        <v>9</v>
      </c>
      <c r="C24" s="18">
        <v>6000000</v>
      </c>
      <c r="D24" s="15">
        <v>5000000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6"/>
      <c r="AB24" s="15"/>
      <c r="AC24" s="15"/>
      <c r="AD24" s="15"/>
      <c r="AE24" s="17"/>
    </row>
    <row r="25" spans="1:31" s="36" customFormat="1" ht="12">
      <c r="A25" s="46">
        <v>9</v>
      </c>
      <c r="B25" s="38" t="s">
        <v>10</v>
      </c>
      <c r="C25" s="18">
        <f>+C20-C21-C24</f>
        <v>38815907</v>
      </c>
      <c r="D25" s="15">
        <f>+D20-D21-D24</f>
        <v>22004509</v>
      </c>
      <c r="E25" s="15">
        <f>+E20-E21-E24</f>
        <v>56229310.14046669</v>
      </c>
      <c r="F25" s="15">
        <f>+F20-F21-F24</f>
        <v>76831053.58253635</v>
      </c>
      <c r="G25" s="15">
        <f>+G20-G21-G24</f>
        <v>58609412.74945246</v>
      </c>
      <c r="H25" s="15">
        <f aca="true" t="shared" si="12" ref="H25:AE25">+H20-H21-H24</f>
        <v>72218753.64099143</v>
      </c>
      <c r="I25" s="15">
        <f t="shared" si="12"/>
        <v>76419076.1996514</v>
      </c>
      <c r="J25" s="15">
        <f t="shared" si="12"/>
        <v>79522634.50495179</v>
      </c>
      <c r="K25" s="15">
        <f t="shared" si="12"/>
        <v>82649945.59156835</v>
      </c>
      <c r="L25" s="15">
        <f t="shared" si="12"/>
        <v>84774474.01285338</v>
      </c>
      <c r="M25" s="15">
        <f t="shared" si="12"/>
        <v>87876463.43486257</v>
      </c>
      <c r="N25" s="15">
        <f t="shared" si="12"/>
        <v>106970656.85852283</v>
      </c>
      <c r="O25" s="15">
        <f t="shared" si="12"/>
        <v>121685942.99649152</v>
      </c>
      <c r="P25" s="15">
        <f t="shared" si="12"/>
        <v>129966233.1677385</v>
      </c>
      <c r="Q25" s="15">
        <f t="shared" si="12"/>
        <v>133212505.005651</v>
      </c>
      <c r="R25" s="15">
        <f t="shared" si="12"/>
        <v>138471649.8970491</v>
      </c>
      <c r="S25" s="15">
        <f t="shared" si="12"/>
        <v>145654532.72478053</v>
      </c>
      <c r="T25" s="15">
        <f t="shared" si="12"/>
        <v>148669757.06303364</v>
      </c>
      <c r="U25" s="15">
        <f t="shared" si="12"/>
        <v>151982312.53871047</v>
      </c>
      <c r="V25" s="15">
        <f t="shared" si="12"/>
        <v>168772134.06688985</v>
      </c>
      <c r="W25" s="15">
        <f t="shared" si="12"/>
        <v>171555430.80805972</v>
      </c>
      <c r="X25" s="15">
        <f t="shared" si="12"/>
        <v>174413528.38180158</v>
      </c>
      <c r="Y25" s="15">
        <f t="shared" si="12"/>
        <v>177193511.1372405</v>
      </c>
      <c r="Z25" s="15">
        <f t="shared" si="12"/>
        <v>180045150.46190283</v>
      </c>
      <c r="AA25" s="16">
        <f t="shared" si="12"/>
        <v>182969566.12252188</v>
      </c>
      <c r="AB25" s="15">
        <f t="shared" si="12"/>
        <v>185967912.55354774</v>
      </c>
      <c r="AC25" s="15">
        <f t="shared" si="12"/>
        <v>189041379.2445808</v>
      </c>
      <c r="AD25" s="15">
        <f t="shared" si="12"/>
        <v>192191191.2796219</v>
      </c>
      <c r="AE25" s="17">
        <f t="shared" si="12"/>
        <v>195418609.59757975</v>
      </c>
    </row>
    <row r="26" spans="1:31" s="36" customFormat="1" ht="12">
      <c r="A26" s="46">
        <v>10</v>
      </c>
      <c r="B26" s="37" t="s">
        <v>78</v>
      </c>
      <c r="C26" s="18">
        <v>110217994</v>
      </c>
      <c r="D26" s="15">
        <v>112629747</v>
      </c>
      <c r="E26" s="15">
        <f>133655776+9000000</f>
        <v>142655776</v>
      </c>
      <c r="F26" s="15">
        <v>76831053.58</v>
      </c>
      <c r="G26" s="15">
        <v>78609412.75</v>
      </c>
      <c r="H26" s="15">
        <f>80944522.66+998263.01+270739.73+5228.24</f>
        <v>82218753.64</v>
      </c>
      <c r="I26" s="15">
        <f>82982939.21+3701863.02-265726.03</f>
        <v>86419076.19999999</v>
      </c>
      <c r="J26" s="15">
        <f>87374315.93-3986356.17+5504854.81+890532.26-260712.33</f>
        <v>89522634.50000001</v>
      </c>
      <c r="K26" s="15">
        <f>95000000-3330856.08+3287640.04-306838.37</f>
        <v>94649945.59</v>
      </c>
      <c r="L26" s="15">
        <f>105000000-9179437.58+953911.59</f>
        <v>96774474.01</v>
      </c>
      <c r="M26" s="15">
        <f>98127148.36-250684.93</f>
        <v>97876463.42999999</v>
      </c>
      <c r="N26" s="15">
        <f>106470656.86+500000</f>
        <v>106970656.86</v>
      </c>
      <c r="O26" s="15">
        <v>121685943</v>
      </c>
      <c r="P26" s="15">
        <v>129966233.17</v>
      </c>
      <c r="Q26" s="15">
        <v>133212505.01</v>
      </c>
      <c r="R26" s="15">
        <v>138471649.9</v>
      </c>
      <c r="S26" s="15">
        <v>145654532.72</v>
      </c>
      <c r="T26" s="15">
        <v>148669757.06</v>
      </c>
      <c r="U26" s="15">
        <v>151982312.54</v>
      </c>
      <c r="V26" s="15">
        <v>168772134.07</v>
      </c>
      <c r="W26" s="15">
        <v>171555430.81</v>
      </c>
      <c r="X26" s="15">
        <v>174413528.38</v>
      </c>
      <c r="Y26" s="15">
        <v>177193511.14</v>
      </c>
      <c r="Z26" s="15">
        <v>180045150.46</v>
      </c>
      <c r="AA26" s="16">
        <v>182969566.12</v>
      </c>
      <c r="AB26" s="15">
        <v>185967912.55</v>
      </c>
      <c r="AC26" s="15">
        <v>189041379.24</v>
      </c>
      <c r="AD26" s="15">
        <v>192191191.28</v>
      </c>
      <c r="AE26" s="17">
        <v>195418609.6</v>
      </c>
    </row>
    <row r="27" spans="1:31" s="36" customFormat="1" ht="15.75" customHeight="1">
      <c r="A27" s="46" t="s">
        <v>3</v>
      </c>
      <c r="B27" s="39" t="s">
        <v>31</v>
      </c>
      <c r="C27" s="18">
        <v>41102641</v>
      </c>
      <c r="D27" s="15">
        <v>88892197</v>
      </c>
      <c r="E27" s="15">
        <v>137373395</v>
      </c>
      <c r="F27" s="15">
        <v>76570458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6">
        <v>0</v>
      </c>
      <c r="AB27" s="15">
        <v>0</v>
      </c>
      <c r="AC27" s="15">
        <v>0</v>
      </c>
      <c r="AD27" s="15">
        <v>0</v>
      </c>
      <c r="AE27" s="17">
        <v>0</v>
      </c>
    </row>
    <row r="28" spans="1:31" s="36" customFormat="1" ht="12">
      <c r="A28" s="46">
        <v>11</v>
      </c>
      <c r="B28" s="37" t="s">
        <v>69</v>
      </c>
      <c r="C28" s="18">
        <f>74000000</f>
        <v>74000000</v>
      </c>
      <c r="D28" s="15">
        <v>90846772</v>
      </c>
      <c r="E28" s="15">
        <v>86426465.86</v>
      </c>
      <c r="F28" s="15">
        <v>0</v>
      </c>
      <c r="G28" s="15">
        <v>20000000</v>
      </c>
      <c r="H28" s="15">
        <v>10000000</v>
      </c>
      <c r="I28" s="15">
        <v>10000000</v>
      </c>
      <c r="J28" s="15">
        <v>10000000</v>
      </c>
      <c r="K28" s="15">
        <v>12000000</v>
      </c>
      <c r="L28" s="15">
        <v>12000000</v>
      </c>
      <c r="M28" s="15">
        <v>10000000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7">
        <v>0</v>
      </c>
      <c r="AA28" s="18">
        <v>0</v>
      </c>
      <c r="AB28" s="15">
        <v>0</v>
      </c>
      <c r="AC28" s="15">
        <v>0</v>
      </c>
      <c r="AD28" s="15">
        <v>0</v>
      </c>
      <c r="AE28" s="17">
        <v>0</v>
      </c>
    </row>
    <row r="29" spans="1:31" s="36" customFormat="1" ht="12">
      <c r="A29" s="46">
        <v>12</v>
      </c>
      <c r="B29" s="37" t="s">
        <v>70</v>
      </c>
      <c r="C29" s="18">
        <f>+C25-C26+C28</f>
        <v>2597913</v>
      </c>
      <c r="D29" s="15">
        <f>+D25-D26+D28</f>
        <v>221534</v>
      </c>
      <c r="E29" s="15">
        <f>+E25-E26+E28</f>
        <v>0.00046668946743011475</v>
      </c>
      <c r="F29" s="15">
        <f>+F25-F26+F28</f>
        <v>0.0025363564491271973</v>
      </c>
      <c r="G29" s="15">
        <f>+G25-G26+G28</f>
        <v>-0.0005475431680679321</v>
      </c>
      <c r="H29" s="15">
        <f aca="true" t="shared" si="13" ref="H29:AE29">+H25-H26+H28</f>
        <v>0.00099143385887146</v>
      </c>
      <c r="I29" s="15">
        <f t="shared" si="13"/>
        <v>-0.0003485828638076782</v>
      </c>
      <c r="J29" s="15">
        <f t="shared" si="13"/>
        <v>0.004951775074005127</v>
      </c>
      <c r="K29" s="15">
        <f t="shared" si="13"/>
        <v>0.0015683472156524658</v>
      </c>
      <c r="L29" s="15">
        <f t="shared" si="13"/>
        <v>0.002853378653526306</v>
      </c>
      <c r="M29" s="15">
        <f t="shared" si="13"/>
        <v>0.004862576723098755</v>
      </c>
      <c r="N29" s="15">
        <f t="shared" si="13"/>
        <v>-0.001477167010307312</v>
      </c>
      <c r="O29" s="15">
        <f t="shared" si="13"/>
        <v>-0.0035084784030914307</v>
      </c>
      <c r="P29" s="15">
        <f t="shared" si="13"/>
        <v>-0.0022615045309066772</v>
      </c>
      <c r="Q29" s="15">
        <f t="shared" si="13"/>
        <v>-0.004349008202552795</v>
      </c>
      <c r="R29" s="15">
        <f t="shared" si="13"/>
        <v>-0.002950906753540039</v>
      </c>
      <c r="S29" s="15">
        <f t="shared" si="13"/>
        <v>0.00478053092956543</v>
      </c>
      <c r="T29" s="15">
        <f t="shared" si="13"/>
        <v>0.0030336380004882812</v>
      </c>
      <c r="U29" s="15">
        <f t="shared" si="13"/>
        <v>-0.0012895166873931885</v>
      </c>
      <c r="V29" s="15">
        <f t="shared" si="13"/>
        <v>-0.003110140562057495</v>
      </c>
      <c r="W29" s="15">
        <f t="shared" si="13"/>
        <v>-0.0019402801990509033</v>
      </c>
      <c r="X29" s="15">
        <f t="shared" si="13"/>
        <v>0.0018015801906585693</v>
      </c>
      <c r="Y29" s="15">
        <f t="shared" si="13"/>
        <v>-0.002759486436843872</v>
      </c>
      <c r="Z29" s="15">
        <f t="shared" si="13"/>
        <v>0.0019028186798095703</v>
      </c>
      <c r="AA29" s="16">
        <f t="shared" si="13"/>
        <v>0.0025218725204467773</v>
      </c>
      <c r="AB29" s="15">
        <f t="shared" si="13"/>
        <v>0.0035477280616760254</v>
      </c>
      <c r="AC29" s="15">
        <f t="shared" si="13"/>
        <v>0.004580795764923096</v>
      </c>
      <c r="AD29" s="15">
        <f t="shared" si="13"/>
        <v>-0.00037810206413269043</v>
      </c>
      <c r="AE29" s="17">
        <f t="shared" si="13"/>
        <v>-0.0024202466011047363</v>
      </c>
    </row>
    <row r="30" spans="1:31" s="36" customFormat="1" ht="12">
      <c r="A30" s="46">
        <v>13</v>
      </c>
      <c r="B30" s="37" t="s">
        <v>79</v>
      </c>
      <c r="C30" s="18">
        <v>337757657.87</v>
      </c>
      <c r="D30" s="15">
        <f>C30+D28-D22-385515</f>
        <v>376346771.87</v>
      </c>
      <c r="E30" s="15">
        <f aca="true" t="shared" si="14" ref="E30:AE30">D30+E28-E22</f>
        <v>415773237.73</v>
      </c>
      <c r="F30" s="15">
        <f t="shared" si="14"/>
        <v>386708721.6</v>
      </c>
      <c r="G30" s="15">
        <f t="shared" si="14"/>
        <v>365979689.34000003</v>
      </c>
      <c r="H30" s="15">
        <f t="shared" si="14"/>
        <v>339302544.46000004</v>
      </c>
      <c r="I30" s="15">
        <f t="shared" si="14"/>
        <v>306569923.04</v>
      </c>
      <c r="J30" s="15">
        <f t="shared" si="14"/>
        <v>271837301.62</v>
      </c>
      <c r="K30" s="15">
        <f t="shared" si="14"/>
        <v>237104680.2</v>
      </c>
      <c r="L30" s="15">
        <f t="shared" si="14"/>
        <v>199372058.77999997</v>
      </c>
      <c r="M30" s="15">
        <f t="shared" si="14"/>
        <v>158639437.35999995</v>
      </c>
      <c r="N30" s="15">
        <f t="shared" si="14"/>
        <v>122906815.93999995</v>
      </c>
      <c r="O30" s="15">
        <f t="shared" si="14"/>
        <v>98174194.51999995</v>
      </c>
      <c r="P30" s="15">
        <f t="shared" si="14"/>
        <v>78441573.09999995</v>
      </c>
      <c r="Q30" s="15">
        <f t="shared" si="14"/>
        <v>58708951.67999995</v>
      </c>
      <c r="R30" s="15">
        <f t="shared" si="14"/>
        <v>40976330.259999946</v>
      </c>
      <c r="S30" s="15">
        <f t="shared" si="14"/>
        <v>27243708.839999944</v>
      </c>
      <c r="T30" s="15">
        <f t="shared" si="14"/>
        <v>13511087.419999944</v>
      </c>
      <c r="U30" s="15">
        <f t="shared" si="14"/>
        <v>-5.587935447692871E-08</v>
      </c>
      <c r="V30" s="15">
        <f t="shared" si="14"/>
        <v>-5.587935447692871E-08</v>
      </c>
      <c r="W30" s="15">
        <f t="shared" si="14"/>
        <v>-5.587935447692871E-08</v>
      </c>
      <c r="X30" s="15">
        <f t="shared" si="14"/>
        <v>-5.587935447692871E-08</v>
      </c>
      <c r="Y30" s="15">
        <f t="shared" si="14"/>
        <v>-5.587935447692871E-08</v>
      </c>
      <c r="Z30" s="15">
        <f t="shared" si="14"/>
        <v>-5.587935447692871E-08</v>
      </c>
      <c r="AA30" s="16">
        <f t="shared" si="14"/>
        <v>-5.587935447692871E-08</v>
      </c>
      <c r="AB30" s="15">
        <f t="shared" si="14"/>
        <v>-5.587935447692871E-08</v>
      </c>
      <c r="AC30" s="15">
        <f t="shared" si="14"/>
        <v>-5.587935447692871E-08</v>
      </c>
      <c r="AD30" s="15">
        <f t="shared" si="14"/>
        <v>-5.587935447692871E-08</v>
      </c>
      <c r="AE30" s="17">
        <f t="shared" si="14"/>
        <v>-5.587935447692871E-08</v>
      </c>
    </row>
    <row r="31" spans="1:31" s="36" customFormat="1" ht="24">
      <c r="A31" s="46" t="s">
        <v>3</v>
      </c>
      <c r="B31" s="40" t="s">
        <v>71</v>
      </c>
      <c r="C31" s="18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6">
        <v>0</v>
      </c>
      <c r="AB31" s="15">
        <v>0</v>
      </c>
      <c r="AC31" s="15">
        <v>0</v>
      </c>
      <c r="AD31" s="15">
        <v>0</v>
      </c>
      <c r="AE31" s="17">
        <v>0</v>
      </c>
    </row>
    <row r="32" spans="1:31" s="36" customFormat="1" ht="26.25" customHeight="1">
      <c r="A32" s="47" t="s">
        <v>4</v>
      </c>
      <c r="B32" s="40" t="s">
        <v>32</v>
      </c>
      <c r="C32" s="18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6">
        <v>0</v>
      </c>
      <c r="AB32" s="15">
        <v>0</v>
      </c>
      <c r="AC32" s="15">
        <v>0</v>
      </c>
      <c r="AD32" s="15">
        <v>0</v>
      </c>
      <c r="AE32" s="17">
        <v>0</v>
      </c>
    </row>
    <row r="33" spans="1:31" s="36" customFormat="1" ht="37.5" customHeight="1">
      <c r="A33" s="46">
        <v>14</v>
      </c>
      <c r="B33" s="40" t="s">
        <v>72</v>
      </c>
      <c r="C33" s="18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7">
        <v>0</v>
      </c>
    </row>
    <row r="34" spans="1:31" s="12" customFormat="1" ht="12">
      <c r="A34" s="46" t="s">
        <v>11</v>
      </c>
      <c r="B34" s="25" t="s">
        <v>73</v>
      </c>
      <c r="C34" s="29">
        <f>(C22+C23+C13)/C6</f>
        <v>0.10385871799376234</v>
      </c>
      <c r="D34" s="31">
        <f aca="true" t="shared" si="15" ref="D34:AE34">(D22+D23+D13)/D6</f>
        <v>0.08710280466841604</v>
      </c>
      <c r="E34" s="31">
        <f t="shared" si="15"/>
        <v>0.07740570004692346</v>
      </c>
      <c r="F34" s="31">
        <f t="shared" si="15"/>
        <v>0.05433689103129279</v>
      </c>
      <c r="G34" s="31">
        <f t="shared" si="15"/>
        <v>0.06360890066855317</v>
      </c>
      <c r="H34" s="31">
        <f t="shared" si="15"/>
        <v>0.05569519929486995</v>
      </c>
      <c r="I34" s="31">
        <f>(I22+I23+I13)/I6</f>
        <v>0.057862329777035135</v>
      </c>
      <c r="J34" s="31">
        <f t="shared" si="15"/>
        <v>0.056242402945807825</v>
      </c>
      <c r="K34" s="31">
        <f t="shared" si="15"/>
        <v>0.05453553073587295</v>
      </c>
      <c r="L34" s="31">
        <f t="shared" si="15"/>
        <v>0.05384445526725134</v>
      </c>
      <c r="M34" s="31">
        <f t="shared" si="15"/>
        <v>0.05183349821327071</v>
      </c>
      <c r="N34" s="31">
        <f t="shared" si="15"/>
        <v>0.036393131044849286</v>
      </c>
      <c r="O34" s="31">
        <f t="shared" si="15"/>
        <v>0.025217212221303402</v>
      </c>
      <c r="P34" s="31">
        <f>(P22+P23+P13)/P6</f>
        <v>0.019772377802703852</v>
      </c>
      <c r="Q34" s="31">
        <f t="shared" si="15"/>
        <v>0.018591722667882945</v>
      </c>
      <c r="R34" s="31">
        <f t="shared" si="15"/>
        <v>0.015938403369731353</v>
      </c>
      <c r="S34" s="31">
        <f t="shared" si="15"/>
        <v>0.011978242936720436</v>
      </c>
      <c r="T34" s="31">
        <f t="shared" si="15"/>
        <v>0.011230245061094374</v>
      </c>
      <c r="U34" s="31">
        <f t="shared" si="15"/>
        <v>0.01046140198005758</v>
      </c>
      <c r="V34" s="31">
        <f t="shared" si="15"/>
        <v>0.00021456915942230696</v>
      </c>
      <c r="W34" s="31">
        <f t="shared" si="15"/>
        <v>0.00021428843687902138</v>
      </c>
      <c r="X34" s="31">
        <f t="shared" si="15"/>
        <v>0.00021400287861922165</v>
      </c>
      <c r="Y34" s="31">
        <f t="shared" si="15"/>
        <v>0.00021391899060489724</v>
      </c>
      <c r="Z34" s="31">
        <f t="shared" si="15"/>
        <v>9.131215990869305E-05</v>
      </c>
      <c r="AA34" s="31">
        <f t="shared" si="15"/>
        <v>0</v>
      </c>
      <c r="AB34" s="31">
        <f t="shared" si="15"/>
        <v>0</v>
      </c>
      <c r="AC34" s="31">
        <f t="shared" si="15"/>
        <v>0</v>
      </c>
      <c r="AD34" s="31">
        <f t="shared" si="15"/>
        <v>0</v>
      </c>
      <c r="AE34" s="28">
        <f t="shared" si="15"/>
        <v>0</v>
      </c>
    </row>
    <row r="35" spans="1:31" s="12" customFormat="1" ht="12">
      <c r="A35" s="46" t="s">
        <v>3</v>
      </c>
      <c r="B35" s="25" t="s">
        <v>74</v>
      </c>
      <c r="C35" s="29">
        <v>0.083</v>
      </c>
      <c r="D35" s="31">
        <f>((C7+C9-C10-C23)/C6+0.0375+0.0759)/3</f>
        <v>0.05224333455183025</v>
      </c>
      <c r="E35" s="31">
        <f>((D7+D9-D10-D23)/D6+(C7+C9-C10-C23)/C6+0.0375)/3</f>
        <v>0.04781373515759274</v>
      </c>
      <c r="F35" s="31">
        <f>((E7+E9-E10-E23)/E6+(D7+D9-D10-D23)/D6+(C7+C9-C10-C23)/C6)/3</f>
        <v>0.05672306853647924</v>
      </c>
      <c r="G35" s="31">
        <f aca="true" t="shared" si="16" ref="G35:AE35">((F7+F9-F10-F23)/F6+(E7+E9-E10-E23)/E6+(D7+D9-D10-D23)/D6)/3</f>
        <v>0.0671084297396045</v>
      </c>
      <c r="H35" s="31">
        <f t="shared" si="16"/>
        <v>0.0740472026012217</v>
      </c>
      <c r="I35" s="31">
        <f t="shared" si="16"/>
        <v>0.08262801013152814</v>
      </c>
      <c r="J35" s="31">
        <f t="shared" si="16"/>
        <v>0.08999462625924687</v>
      </c>
      <c r="K35" s="31">
        <f t="shared" si="16"/>
        <v>0.09496611162849232</v>
      </c>
      <c r="L35" s="31">
        <f t="shared" si="16"/>
        <v>0.09828065593204782</v>
      </c>
      <c r="M35" s="31">
        <f t="shared" si="16"/>
        <v>0.09984871511282904</v>
      </c>
      <c r="N35" s="31">
        <f t="shared" si="16"/>
        <v>0.10125690122937393</v>
      </c>
      <c r="O35" s="31">
        <f t="shared" si="16"/>
        <v>0.10252688338680578</v>
      </c>
      <c r="P35" s="31">
        <f>((O7+O9-O10-O23)/O6+(N7+N9-N10-N23)/N6+(M7+M9-M10-M23)/M6)/3</f>
        <v>0.10361700413032537</v>
      </c>
      <c r="Q35" s="31">
        <f t="shared" si="16"/>
        <v>0.10441358077824264</v>
      </c>
      <c r="R35" s="31">
        <f t="shared" si="16"/>
        <v>0.10492413487078994</v>
      </c>
      <c r="S35" s="31">
        <f t="shared" si="16"/>
        <v>0.10523717627363449</v>
      </c>
      <c r="T35" s="31">
        <f t="shared" si="16"/>
        <v>0.10545923307422829</v>
      </c>
      <c r="U35" s="31">
        <f t="shared" si="16"/>
        <v>0.1055955030842602</v>
      </c>
      <c r="V35" s="31">
        <f t="shared" si="16"/>
        <v>0.10566610885905849</v>
      </c>
      <c r="W35" s="31">
        <f t="shared" si="16"/>
        <v>0.10573917353439577</v>
      </c>
      <c r="X35" s="31">
        <f t="shared" si="16"/>
        <v>0.1057084171994691</v>
      </c>
      <c r="Y35" s="31">
        <f t="shared" si="16"/>
        <v>0.10557678984758469</v>
      </c>
      <c r="Z35" s="31">
        <f t="shared" si="16"/>
        <v>0.10532034363650333</v>
      </c>
      <c r="AA35" s="31">
        <f t="shared" si="16"/>
        <v>0.10507647077418612</v>
      </c>
      <c r="AB35" s="31">
        <f t="shared" si="16"/>
        <v>0.10484456358515493</v>
      </c>
      <c r="AC35" s="31">
        <f t="shared" si="16"/>
        <v>0.10462459615938297</v>
      </c>
      <c r="AD35" s="31">
        <f t="shared" si="16"/>
        <v>0.10441598627793756</v>
      </c>
      <c r="AE35" s="28">
        <f t="shared" si="16"/>
        <v>0.10421817895481765</v>
      </c>
    </row>
    <row r="36" spans="1:31" s="11" customFormat="1" ht="36">
      <c r="A36" s="46">
        <v>16</v>
      </c>
      <c r="B36" s="13" t="s">
        <v>75</v>
      </c>
      <c r="C36" s="14" t="s">
        <v>85</v>
      </c>
      <c r="D36" s="32" t="s">
        <v>85</v>
      </c>
      <c r="E36" s="32" t="s">
        <v>85</v>
      </c>
      <c r="F36" s="15" t="s">
        <v>86</v>
      </c>
      <c r="G36" s="15" t="s">
        <v>86</v>
      </c>
      <c r="H36" s="15" t="s">
        <v>86</v>
      </c>
      <c r="I36" s="15" t="s">
        <v>86</v>
      </c>
      <c r="J36" s="15" t="s">
        <v>86</v>
      </c>
      <c r="K36" s="15" t="s">
        <v>86</v>
      </c>
      <c r="L36" s="15" t="s">
        <v>86</v>
      </c>
      <c r="M36" s="15" t="s">
        <v>86</v>
      </c>
      <c r="N36" s="15" t="s">
        <v>86</v>
      </c>
      <c r="O36" s="15" t="s">
        <v>86</v>
      </c>
      <c r="P36" s="15" t="s">
        <v>86</v>
      </c>
      <c r="Q36" s="15" t="s">
        <v>86</v>
      </c>
      <c r="R36" s="15" t="s">
        <v>86</v>
      </c>
      <c r="S36" s="15" t="s">
        <v>86</v>
      </c>
      <c r="T36" s="15" t="s">
        <v>86</v>
      </c>
      <c r="U36" s="15" t="s">
        <v>86</v>
      </c>
      <c r="V36" s="15" t="s">
        <v>86</v>
      </c>
      <c r="W36" s="15" t="s">
        <v>86</v>
      </c>
      <c r="X36" s="15" t="s">
        <v>86</v>
      </c>
      <c r="Y36" s="15" t="s">
        <v>86</v>
      </c>
      <c r="Z36" s="15" t="s">
        <v>86</v>
      </c>
      <c r="AA36" s="15" t="s">
        <v>86</v>
      </c>
      <c r="AB36" s="15" t="s">
        <v>86</v>
      </c>
      <c r="AC36" s="15" t="s">
        <v>86</v>
      </c>
      <c r="AD36" s="15" t="s">
        <v>86</v>
      </c>
      <c r="AE36" s="17" t="s">
        <v>86</v>
      </c>
    </row>
    <row r="37" spans="1:31" s="23" customFormat="1" ht="12">
      <c r="A37" s="46">
        <v>17</v>
      </c>
      <c r="B37" s="19" t="s">
        <v>77</v>
      </c>
      <c r="C37" s="20">
        <f aca="true" t="shared" si="17" ref="C37:AE37">+(C21-C31+C13-C14)/C6</f>
        <v>0.10385871799376234</v>
      </c>
      <c r="D37" s="21">
        <f t="shared" si="17"/>
        <v>0.08710280466841604</v>
      </c>
      <c r="E37" s="21">
        <f t="shared" si="17"/>
        <v>0.07740570004692346</v>
      </c>
      <c r="F37" s="21">
        <f t="shared" si="17"/>
        <v>0.05433689103129279</v>
      </c>
      <c r="G37" s="21">
        <f t="shared" si="17"/>
        <v>0.06360890066855317</v>
      </c>
      <c r="H37" s="21">
        <f t="shared" si="17"/>
        <v>0.05569519929486995</v>
      </c>
      <c r="I37" s="21">
        <f t="shared" si="17"/>
        <v>0.057862329777035135</v>
      </c>
      <c r="J37" s="21">
        <f t="shared" si="17"/>
        <v>0.056242402945807825</v>
      </c>
      <c r="K37" s="21">
        <f t="shared" si="17"/>
        <v>0.05453553073587295</v>
      </c>
      <c r="L37" s="21">
        <f t="shared" si="17"/>
        <v>0.05384445526725134</v>
      </c>
      <c r="M37" s="21">
        <f t="shared" si="17"/>
        <v>0.05183349821327071</v>
      </c>
      <c r="N37" s="21">
        <f t="shared" si="17"/>
        <v>0.036393131044849286</v>
      </c>
      <c r="O37" s="21">
        <f t="shared" si="17"/>
        <v>0.025217212221303402</v>
      </c>
      <c r="P37" s="21">
        <f t="shared" si="17"/>
        <v>0.019772377802703852</v>
      </c>
      <c r="Q37" s="21">
        <f t="shared" si="17"/>
        <v>0.018591722667882945</v>
      </c>
      <c r="R37" s="21">
        <f t="shared" si="17"/>
        <v>0.015938403369731353</v>
      </c>
      <c r="S37" s="21">
        <f t="shared" si="17"/>
        <v>0.011978242936720436</v>
      </c>
      <c r="T37" s="21">
        <f t="shared" si="17"/>
        <v>0.011230245061094374</v>
      </c>
      <c r="U37" s="21">
        <f t="shared" si="17"/>
        <v>0.01046140198005758</v>
      </c>
      <c r="V37" s="21">
        <f t="shared" si="17"/>
        <v>0.00021456915942230696</v>
      </c>
      <c r="W37" s="21">
        <f t="shared" si="17"/>
        <v>0.00021428843687902138</v>
      </c>
      <c r="X37" s="21">
        <f t="shared" si="17"/>
        <v>0.00021400287861922165</v>
      </c>
      <c r="Y37" s="21">
        <f t="shared" si="17"/>
        <v>0.00021391899060489724</v>
      </c>
      <c r="Z37" s="21">
        <f t="shared" si="17"/>
        <v>9.131215990869305E-05</v>
      </c>
      <c r="AA37" s="21">
        <f t="shared" si="17"/>
        <v>0</v>
      </c>
      <c r="AB37" s="21">
        <f t="shared" si="17"/>
        <v>0</v>
      </c>
      <c r="AC37" s="21">
        <f t="shared" si="17"/>
        <v>0</v>
      </c>
      <c r="AD37" s="21">
        <f t="shared" si="17"/>
        <v>0</v>
      </c>
      <c r="AE37" s="22">
        <f t="shared" si="17"/>
        <v>0</v>
      </c>
    </row>
    <row r="38" spans="1:31" s="23" customFormat="1" ht="12">
      <c r="A38" s="46">
        <v>18</v>
      </c>
      <c r="B38" s="19" t="s">
        <v>76</v>
      </c>
      <c r="C38" s="20">
        <f aca="true" t="shared" si="18" ref="C38:AE38">+(C30-C31)/C6</f>
        <v>0.3775760769228591</v>
      </c>
      <c r="D38" s="21">
        <f>+(D30-D31)/D6</f>
        <v>0.44780278656327344</v>
      </c>
      <c r="E38" s="21">
        <f t="shared" si="18"/>
        <v>0.46214313409302343</v>
      </c>
      <c r="F38" s="21">
        <f t="shared" si="18"/>
        <v>0.4165085982646388</v>
      </c>
      <c r="G38" s="21">
        <f t="shared" si="18"/>
        <v>0.38597175441283027</v>
      </c>
      <c r="H38" s="21">
        <f t="shared" si="18"/>
        <v>0.344303161668594</v>
      </c>
      <c r="I38" s="21">
        <f t="shared" si="18"/>
        <v>0.29933776609094215</v>
      </c>
      <c r="J38" s="21">
        <f t="shared" si="18"/>
        <v>0.256991260975037</v>
      </c>
      <c r="K38" s="21">
        <f t="shared" si="18"/>
        <v>0.21704085685529542</v>
      </c>
      <c r="L38" s="21">
        <f t="shared" si="18"/>
        <v>0.17671788267461633</v>
      </c>
      <c r="M38" s="21">
        <f t="shared" si="18"/>
        <v>0.13745163805528188</v>
      </c>
      <c r="N38" s="21">
        <f t="shared" si="18"/>
        <v>0.10409303586149557</v>
      </c>
      <c r="O38" s="21">
        <f t="shared" si="18"/>
        <v>0.08134904365435147</v>
      </c>
      <c r="P38" s="21">
        <f t="shared" si="18"/>
        <v>0.06359115590456092</v>
      </c>
      <c r="Q38" s="21">
        <f t="shared" si="18"/>
        <v>0.046562529064125134</v>
      </c>
      <c r="R38" s="21">
        <f t="shared" si="18"/>
        <v>0.03179319285245311</v>
      </c>
      <c r="S38" s="21">
        <f t="shared" si="18"/>
        <v>0.02067872316397032</v>
      </c>
      <c r="T38" s="21">
        <f t="shared" si="18"/>
        <v>0.01004178174884328</v>
      </c>
      <c r="U38" s="21">
        <f t="shared" si="18"/>
        <v>-4.066526745848782E-17</v>
      </c>
      <c r="V38" s="21">
        <f t="shared" si="18"/>
        <v>-3.9816644370124925E-17</v>
      </c>
      <c r="W38" s="21">
        <f t="shared" si="18"/>
        <v>-3.8984804070511436E-17</v>
      </c>
      <c r="X38" s="21">
        <f t="shared" si="18"/>
        <v>-3.816947140546523E-17</v>
      </c>
      <c r="Y38" s="21">
        <f t="shared" si="18"/>
        <v>-3.740648923165791E-17</v>
      </c>
      <c r="Z38" s="21">
        <f t="shared" si="18"/>
        <v>-3.6658006276209363E-17</v>
      </c>
      <c r="AA38" s="21">
        <f t="shared" si="18"/>
        <v>-3.592379232218024E-17</v>
      </c>
      <c r="AB38" s="21">
        <f t="shared" si="18"/>
        <v>-3.5203617869274935E-17</v>
      </c>
      <c r="AC38" s="21">
        <f t="shared" si="18"/>
        <v>-3.449725436161507E-17</v>
      </c>
      <c r="AD38" s="21">
        <f t="shared" si="18"/>
        <v>-3.380447439203587E-17</v>
      </c>
      <c r="AE38" s="22">
        <f t="shared" si="18"/>
        <v>-3.312505189559314E-17</v>
      </c>
    </row>
    <row r="39" spans="1:31" s="36" customFormat="1" ht="12">
      <c r="A39" s="46">
        <v>19</v>
      </c>
      <c r="B39" s="38" t="s">
        <v>12</v>
      </c>
      <c r="C39" s="18">
        <f>+C10+C23</f>
        <v>783956270</v>
      </c>
      <c r="D39" s="15">
        <f>+D10+D23</f>
        <v>769150984</v>
      </c>
      <c r="E39" s="15">
        <f>+E10+E23</f>
        <v>796655568.52</v>
      </c>
      <c r="F39" s="15">
        <f>+F10+F23</f>
        <v>822557583.9832</v>
      </c>
      <c r="G39" s="15">
        <f>+G10+G23</f>
        <v>848864850.0677619</v>
      </c>
      <c r="H39" s="15">
        <f aca="true" t="shared" si="19" ref="H39:AE39">+H10+H23</f>
        <v>876580223.2068834</v>
      </c>
      <c r="I39" s="15">
        <f t="shared" si="19"/>
        <v>905008825.2699243</v>
      </c>
      <c r="J39" s="15">
        <f t="shared" si="19"/>
        <v>933513403.5561017</v>
      </c>
      <c r="K39" s="15">
        <f t="shared" si="19"/>
        <v>963060043.2715092</v>
      </c>
      <c r="L39" s="15">
        <f t="shared" si="19"/>
        <v>993686926.3763205</v>
      </c>
      <c r="M39" s="15">
        <f t="shared" si="19"/>
        <v>1015538218.1884722</v>
      </c>
      <c r="N39" s="15">
        <f t="shared" si="19"/>
        <v>1038036767.6169955</v>
      </c>
      <c r="O39" s="15">
        <f t="shared" si="19"/>
        <v>1060408094.0137863</v>
      </c>
      <c r="P39" s="15">
        <f t="shared" si="19"/>
        <v>1083830745.3066833</v>
      </c>
      <c r="Q39" s="15">
        <f t="shared" si="19"/>
        <v>1107917478.331957</v>
      </c>
      <c r="R39" s="15">
        <f t="shared" si="19"/>
        <v>1132635463.969242</v>
      </c>
      <c r="S39" s="15">
        <f t="shared" si="19"/>
        <v>1158088234.6358545</v>
      </c>
      <c r="T39" s="15">
        <f t="shared" si="19"/>
        <v>1183084683.2731433</v>
      </c>
      <c r="U39" s="15">
        <f t="shared" si="19"/>
        <v>1208636366.5329325</v>
      </c>
      <c r="V39" s="15">
        <f t="shared" si="19"/>
        <v>1234644837.926977</v>
      </c>
      <c r="W39" s="15">
        <f t="shared" si="19"/>
        <v>1261807024.3613703</v>
      </c>
      <c r="X39" s="15">
        <f t="shared" si="19"/>
        <v>1289566778.8973205</v>
      </c>
      <c r="Y39" s="15">
        <f t="shared" si="19"/>
        <v>1316647681.2541642</v>
      </c>
      <c r="Z39" s="15">
        <f t="shared" si="19"/>
        <v>1344297282.5605016</v>
      </c>
      <c r="AA39" s="15">
        <f t="shared" si="19"/>
        <v>1372527525.494272</v>
      </c>
      <c r="AB39" s="15">
        <f t="shared" si="19"/>
        <v>1401350603.5296516</v>
      </c>
      <c r="AC39" s="15">
        <f t="shared" si="19"/>
        <v>1430778966.2037742</v>
      </c>
      <c r="AD39" s="15">
        <f t="shared" si="19"/>
        <v>1460825324.4940534</v>
      </c>
      <c r="AE39" s="17">
        <f t="shared" si="19"/>
        <v>1491502656.3084283</v>
      </c>
    </row>
    <row r="40" spans="1:31" s="36" customFormat="1" ht="12">
      <c r="A40" s="46">
        <v>20</v>
      </c>
      <c r="B40" s="38" t="s">
        <v>13</v>
      </c>
      <c r="C40" s="18">
        <f>+C26+C39</f>
        <v>894174264</v>
      </c>
      <c r="D40" s="15">
        <f aca="true" t="shared" si="20" ref="D40:AE40">+D26+D39</f>
        <v>881780731</v>
      </c>
      <c r="E40" s="15">
        <f t="shared" si="20"/>
        <v>939311344.52</v>
      </c>
      <c r="F40" s="15">
        <f t="shared" si="20"/>
        <v>899388637.5632</v>
      </c>
      <c r="G40" s="15">
        <f t="shared" si="20"/>
        <v>927474262.8177619</v>
      </c>
      <c r="H40" s="15">
        <f t="shared" si="20"/>
        <v>958798976.8468834</v>
      </c>
      <c r="I40" s="15">
        <f t="shared" si="20"/>
        <v>991427901.4699242</v>
      </c>
      <c r="J40" s="15">
        <f t="shared" si="20"/>
        <v>1023036038.0561017</v>
      </c>
      <c r="K40" s="15">
        <f t="shared" si="20"/>
        <v>1057709988.8615092</v>
      </c>
      <c r="L40" s="15">
        <f t="shared" si="20"/>
        <v>1090461400.3863206</v>
      </c>
      <c r="M40" s="15">
        <f t="shared" si="20"/>
        <v>1113414681.618472</v>
      </c>
      <c r="N40" s="15">
        <f t="shared" si="20"/>
        <v>1145007424.4769955</v>
      </c>
      <c r="O40" s="15">
        <f t="shared" si="20"/>
        <v>1182094037.0137863</v>
      </c>
      <c r="P40" s="15">
        <f t="shared" si="20"/>
        <v>1213796978.4766834</v>
      </c>
      <c r="Q40" s="15">
        <f t="shared" si="20"/>
        <v>1241129983.341957</v>
      </c>
      <c r="R40" s="15">
        <f t="shared" si="20"/>
        <v>1271107113.8692422</v>
      </c>
      <c r="S40" s="15">
        <f t="shared" si="20"/>
        <v>1303742767.3558545</v>
      </c>
      <c r="T40" s="15">
        <f t="shared" si="20"/>
        <v>1331754440.3331432</v>
      </c>
      <c r="U40" s="15">
        <f t="shared" si="20"/>
        <v>1360618679.0729325</v>
      </c>
      <c r="V40" s="15">
        <f t="shared" si="20"/>
        <v>1403416971.9969769</v>
      </c>
      <c r="W40" s="15">
        <f t="shared" si="20"/>
        <v>1433362455.1713703</v>
      </c>
      <c r="X40" s="15">
        <f t="shared" si="20"/>
        <v>1463980307.2773204</v>
      </c>
      <c r="Y40" s="15">
        <f t="shared" si="20"/>
        <v>1493841192.394164</v>
      </c>
      <c r="Z40" s="15">
        <f t="shared" si="20"/>
        <v>1524342433.0205016</v>
      </c>
      <c r="AA40" s="15">
        <f t="shared" si="20"/>
        <v>1555497091.614272</v>
      </c>
      <c r="AB40" s="15">
        <f t="shared" si="20"/>
        <v>1587318516.0796516</v>
      </c>
      <c r="AC40" s="15">
        <f t="shared" si="20"/>
        <v>1619820345.4437742</v>
      </c>
      <c r="AD40" s="15">
        <f t="shared" si="20"/>
        <v>1653016515.7740533</v>
      </c>
      <c r="AE40" s="17">
        <f t="shared" si="20"/>
        <v>1686921265.9084282</v>
      </c>
    </row>
    <row r="41" spans="1:31" s="36" customFormat="1" ht="12">
      <c r="A41" s="46">
        <v>21</v>
      </c>
      <c r="B41" s="38" t="s">
        <v>14</v>
      </c>
      <c r="C41" s="18">
        <f>+C6-C40</f>
        <v>367733</v>
      </c>
      <c r="D41" s="15">
        <f aca="true" t="shared" si="21" ref="D41:AE41">+D6-D40</f>
        <v>-41351008</v>
      </c>
      <c r="E41" s="15">
        <f t="shared" si="21"/>
        <v>-39647999.85953331</v>
      </c>
      <c r="F41" s="15">
        <f t="shared" si="21"/>
        <v>29064516.132069588</v>
      </c>
      <c r="G41" s="15">
        <f t="shared" si="21"/>
        <v>20729032.256916046</v>
      </c>
      <c r="H41" s="15">
        <f t="shared" si="21"/>
        <v>26677144.881538987</v>
      </c>
      <c r="I41" s="15">
        <f t="shared" si="21"/>
        <v>32732621.418660045</v>
      </c>
      <c r="J41" s="15">
        <f t="shared" si="21"/>
        <v>34732621.42530036</v>
      </c>
      <c r="K41" s="15">
        <f t="shared" si="21"/>
        <v>34732621.41661656</v>
      </c>
      <c r="L41" s="15">
        <f t="shared" si="21"/>
        <v>37732621.421284914</v>
      </c>
      <c r="M41" s="15">
        <f t="shared" si="21"/>
        <v>40732621.42200923</v>
      </c>
      <c r="N41" s="15">
        <f t="shared" si="21"/>
        <v>35732621.41366029</v>
      </c>
      <c r="O41" s="15">
        <f t="shared" si="21"/>
        <v>24732621.41796875</v>
      </c>
      <c r="P41" s="15">
        <f t="shared" si="21"/>
        <v>19732621.421247005</v>
      </c>
      <c r="Q41" s="15">
        <f t="shared" si="21"/>
        <v>19732621.417912483</v>
      </c>
      <c r="R41" s="15">
        <f t="shared" si="21"/>
        <v>17732621.421397924</v>
      </c>
      <c r="S41" s="15">
        <f t="shared" si="21"/>
        <v>13732621.427731514</v>
      </c>
      <c r="T41" s="15">
        <f t="shared" si="21"/>
        <v>13732621.418253183</v>
      </c>
      <c r="U41" s="15">
        <f t="shared" si="21"/>
        <v>13511087.415676832</v>
      </c>
      <c r="V41" s="15">
        <f t="shared" si="21"/>
        <v>-0.0018205642700195312</v>
      </c>
      <c r="W41" s="15">
        <f t="shared" si="21"/>
        <v>0.0011699199676513672</v>
      </c>
      <c r="X41" s="15">
        <f t="shared" si="21"/>
        <v>0.0037419795989990234</v>
      </c>
      <c r="Y41" s="15">
        <f t="shared" si="21"/>
        <v>-0.004560947418212891</v>
      </c>
      <c r="Z41" s="15">
        <f t="shared" si="21"/>
        <v>0.004662275314331055</v>
      </c>
      <c r="AA41" s="15">
        <f t="shared" si="21"/>
        <v>0.0006189346313476562</v>
      </c>
      <c r="AB41" s="15">
        <f t="shared" si="21"/>
        <v>0.0010259151458740234</v>
      </c>
      <c r="AC41" s="15">
        <f t="shared" si="21"/>
        <v>0.0010330677032470703</v>
      </c>
      <c r="AD41" s="15">
        <f t="shared" si="21"/>
        <v>-0.0049588680267333984</v>
      </c>
      <c r="AE41" s="17">
        <f t="shared" si="21"/>
        <v>-0.002042055130004883</v>
      </c>
    </row>
    <row r="42" spans="1:31" s="36" customFormat="1" ht="12">
      <c r="A42" s="46">
        <v>22</v>
      </c>
      <c r="B42" s="38" t="s">
        <v>15</v>
      </c>
      <c r="C42" s="18">
        <f>+C19+C28+C17</f>
        <v>82695755</v>
      </c>
      <c r="D42" s="15">
        <f>+D19+D28+D17</f>
        <v>98444685</v>
      </c>
      <c r="E42" s="15">
        <f aca="true" t="shared" si="22" ref="E42:AE42">+E19+E28+E17</f>
        <v>86647999.86</v>
      </c>
      <c r="F42" s="15">
        <f t="shared" si="22"/>
        <v>0.00046668946743011475</v>
      </c>
      <c r="G42" s="15">
        <f t="shared" si="22"/>
        <v>20000000.002536356</v>
      </c>
      <c r="H42" s="15">
        <f t="shared" si="22"/>
        <v>9999999.999452457</v>
      </c>
      <c r="I42" s="15">
        <f t="shared" si="22"/>
        <v>10000000.000991434</v>
      </c>
      <c r="J42" s="15">
        <f t="shared" si="22"/>
        <v>9999999.999651417</v>
      </c>
      <c r="K42" s="15">
        <f t="shared" si="22"/>
        <v>12000000.004951775</v>
      </c>
      <c r="L42" s="15">
        <f t="shared" si="22"/>
        <v>12000000.001568347</v>
      </c>
      <c r="M42" s="15">
        <f t="shared" si="22"/>
        <v>10000000.002853379</v>
      </c>
      <c r="N42" s="15">
        <f t="shared" si="22"/>
        <v>0.004862576723098755</v>
      </c>
      <c r="O42" s="15">
        <f t="shared" si="22"/>
        <v>-0.001477167010307312</v>
      </c>
      <c r="P42" s="15">
        <f t="shared" si="22"/>
        <v>-0.0035084784030914307</v>
      </c>
      <c r="Q42" s="15">
        <f t="shared" si="22"/>
        <v>-0.0022615045309066772</v>
      </c>
      <c r="R42" s="15">
        <f t="shared" si="22"/>
        <v>-0.004349008202552795</v>
      </c>
      <c r="S42" s="15">
        <f t="shared" si="22"/>
        <v>-0.002950906753540039</v>
      </c>
      <c r="T42" s="15">
        <f t="shared" si="22"/>
        <v>0.00478053092956543</v>
      </c>
      <c r="U42" s="15">
        <f t="shared" si="22"/>
        <v>0.0030336380004882812</v>
      </c>
      <c r="V42" s="15">
        <f t="shared" si="22"/>
        <v>-0.0012895166873931885</v>
      </c>
      <c r="W42" s="15">
        <f t="shared" si="22"/>
        <v>-0.003110140562057495</v>
      </c>
      <c r="X42" s="15">
        <f t="shared" si="22"/>
        <v>-0.0019402801990509033</v>
      </c>
      <c r="Y42" s="15">
        <f t="shared" si="22"/>
        <v>0.0018015801906585693</v>
      </c>
      <c r="Z42" s="15">
        <f t="shared" si="22"/>
        <v>-0.002759486436843872</v>
      </c>
      <c r="AA42" s="15">
        <f t="shared" si="22"/>
        <v>0.0019028186798095703</v>
      </c>
      <c r="AB42" s="15">
        <f t="shared" si="22"/>
        <v>0.0025218725204467773</v>
      </c>
      <c r="AC42" s="15">
        <f t="shared" si="22"/>
        <v>0.0035477280616760254</v>
      </c>
      <c r="AD42" s="15">
        <f t="shared" si="22"/>
        <v>0.004580795764923096</v>
      </c>
      <c r="AE42" s="17">
        <f t="shared" si="22"/>
        <v>-0.00037810206413269043</v>
      </c>
    </row>
    <row r="43" spans="1:31" s="36" customFormat="1" ht="12">
      <c r="A43" s="46">
        <v>23</v>
      </c>
      <c r="B43" s="38" t="s">
        <v>16</v>
      </c>
      <c r="C43" s="18">
        <f>+C22+C24</f>
        <v>80465575</v>
      </c>
      <c r="D43" s="15">
        <f>+D22+D24</f>
        <v>56872143</v>
      </c>
      <c r="E43" s="15">
        <f>+E22+E24</f>
        <v>47000000</v>
      </c>
      <c r="F43" s="15">
        <f>+F22+F24</f>
        <v>29064516.13</v>
      </c>
      <c r="G43" s="15">
        <f>+G22+G24</f>
        <v>40729032.26</v>
      </c>
      <c r="H43" s="15">
        <f aca="true" t="shared" si="23" ref="H43:AE43">+H22+H24</f>
        <v>36677144.879999995</v>
      </c>
      <c r="I43" s="15">
        <f t="shared" si="23"/>
        <v>42732621.42</v>
      </c>
      <c r="J43" s="15">
        <f t="shared" si="23"/>
        <v>44732621.42</v>
      </c>
      <c r="K43" s="15">
        <f t="shared" si="23"/>
        <v>46732621.42</v>
      </c>
      <c r="L43" s="15">
        <f t="shared" si="23"/>
        <v>49732621.42</v>
      </c>
      <c r="M43" s="15">
        <f t="shared" si="23"/>
        <v>50732621.42</v>
      </c>
      <c r="N43" s="15">
        <f t="shared" si="23"/>
        <v>35732621.42</v>
      </c>
      <c r="O43" s="15">
        <f t="shared" si="23"/>
        <v>24732621.42</v>
      </c>
      <c r="P43" s="15">
        <f t="shared" si="23"/>
        <v>19732621.42</v>
      </c>
      <c r="Q43" s="15">
        <f t="shared" si="23"/>
        <v>19732621.42</v>
      </c>
      <c r="R43" s="15">
        <f t="shared" si="23"/>
        <v>17732621.42</v>
      </c>
      <c r="S43" s="15">
        <f t="shared" si="23"/>
        <v>13732621.42</v>
      </c>
      <c r="T43" s="15">
        <f t="shared" si="23"/>
        <v>13732621.42</v>
      </c>
      <c r="U43" s="15">
        <f t="shared" si="23"/>
        <v>13511087.42</v>
      </c>
      <c r="V43" s="15">
        <f t="shared" si="23"/>
        <v>0</v>
      </c>
      <c r="W43" s="15">
        <f t="shared" si="23"/>
        <v>0</v>
      </c>
      <c r="X43" s="15">
        <f t="shared" si="23"/>
        <v>0</v>
      </c>
      <c r="Y43" s="15">
        <f t="shared" si="23"/>
        <v>0</v>
      </c>
      <c r="Z43" s="15">
        <f t="shared" si="23"/>
        <v>0</v>
      </c>
      <c r="AA43" s="15">
        <f t="shared" si="23"/>
        <v>0</v>
      </c>
      <c r="AB43" s="15">
        <f t="shared" si="23"/>
        <v>0</v>
      </c>
      <c r="AC43" s="15">
        <f t="shared" si="23"/>
        <v>0</v>
      </c>
      <c r="AD43" s="15">
        <f t="shared" si="23"/>
        <v>0</v>
      </c>
      <c r="AE43" s="17">
        <f t="shared" si="23"/>
        <v>0</v>
      </c>
    </row>
    <row r="44" spans="1:31" s="36" customFormat="1" ht="36">
      <c r="A44" s="46">
        <v>24</v>
      </c>
      <c r="B44" s="38" t="s">
        <v>33</v>
      </c>
      <c r="C44" s="18">
        <f aca="true" t="shared" si="24" ref="C44:AE44">SUM(C45:C50)</f>
        <v>74465575</v>
      </c>
      <c r="D44" s="15">
        <f t="shared" si="24"/>
        <v>51872143</v>
      </c>
      <c r="E44" s="15">
        <f t="shared" si="24"/>
        <v>47000000</v>
      </c>
      <c r="F44" s="15">
        <f t="shared" si="24"/>
        <v>29064516.13</v>
      </c>
      <c r="G44" s="15">
        <f t="shared" si="24"/>
        <v>40729032.26</v>
      </c>
      <c r="H44" s="15">
        <f t="shared" si="24"/>
        <v>36677144.879999995</v>
      </c>
      <c r="I44" s="15">
        <f t="shared" si="24"/>
        <v>42732621.42</v>
      </c>
      <c r="J44" s="15">
        <f t="shared" si="24"/>
        <v>44732621.42</v>
      </c>
      <c r="K44" s="15">
        <f t="shared" si="24"/>
        <v>46732621.42</v>
      </c>
      <c r="L44" s="15">
        <f t="shared" si="24"/>
        <v>49732621.42</v>
      </c>
      <c r="M44" s="15">
        <f t="shared" si="24"/>
        <v>50732621.42</v>
      </c>
      <c r="N44" s="15">
        <f t="shared" si="24"/>
        <v>35732621.42</v>
      </c>
      <c r="O44" s="15">
        <f t="shared" si="24"/>
        <v>24732621.42</v>
      </c>
      <c r="P44" s="15">
        <f t="shared" si="24"/>
        <v>19732621.42</v>
      </c>
      <c r="Q44" s="15">
        <f t="shared" si="24"/>
        <v>19732621.42</v>
      </c>
      <c r="R44" s="15">
        <f t="shared" si="24"/>
        <v>17732621.42</v>
      </c>
      <c r="S44" s="15">
        <f t="shared" si="24"/>
        <v>13732621.42</v>
      </c>
      <c r="T44" s="15">
        <f t="shared" si="24"/>
        <v>13732621.42</v>
      </c>
      <c r="U44" s="15">
        <f t="shared" si="24"/>
        <v>13511087.42</v>
      </c>
      <c r="V44" s="15">
        <f t="shared" si="24"/>
        <v>0</v>
      </c>
      <c r="W44" s="15">
        <f t="shared" si="24"/>
        <v>0</v>
      </c>
      <c r="X44" s="15">
        <f>SUM(X45:X50)</f>
        <v>0</v>
      </c>
      <c r="Y44" s="15">
        <f t="shared" si="24"/>
        <v>0</v>
      </c>
      <c r="Z44" s="15">
        <f t="shared" si="24"/>
        <v>0</v>
      </c>
      <c r="AA44" s="15">
        <f t="shared" si="24"/>
        <v>0</v>
      </c>
      <c r="AB44" s="15">
        <f t="shared" si="24"/>
        <v>0</v>
      </c>
      <c r="AC44" s="15">
        <f t="shared" si="24"/>
        <v>0</v>
      </c>
      <c r="AD44" s="15">
        <f t="shared" si="24"/>
        <v>0</v>
      </c>
      <c r="AE44" s="17">
        <f t="shared" si="24"/>
        <v>0</v>
      </c>
    </row>
    <row r="45" spans="1:31" s="36" customFormat="1" ht="12">
      <c r="A45" s="46" t="s">
        <v>3</v>
      </c>
      <c r="B45" s="38" t="s">
        <v>17</v>
      </c>
      <c r="C45" s="18"/>
      <c r="D45" s="15">
        <v>146199</v>
      </c>
      <c r="E45" s="15"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</row>
    <row r="46" spans="1:31" s="36" customFormat="1" ht="12">
      <c r="A46" s="46" t="s">
        <v>4</v>
      </c>
      <c r="B46" s="38" t="s">
        <v>18</v>
      </c>
      <c r="C46" s="18">
        <v>465575</v>
      </c>
      <c r="D46" s="15">
        <v>2230180</v>
      </c>
      <c r="E46" s="15">
        <f>E17</f>
        <v>221534</v>
      </c>
      <c r="F46" s="15">
        <f>F17</f>
        <v>0.00046668946743011475</v>
      </c>
      <c r="G46" s="15">
        <f>G17</f>
        <v>0.0025363564491271973</v>
      </c>
      <c r="H46" s="15">
        <f aca="true" t="shared" si="25" ref="H46:W46">H17</f>
        <v>-0.0005475431680679321</v>
      </c>
      <c r="I46" s="15">
        <f t="shared" si="25"/>
        <v>0.00099143385887146</v>
      </c>
      <c r="J46" s="15">
        <f t="shared" si="25"/>
        <v>-0.0003485828638076782</v>
      </c>
      <c r="K46" s="15">
        <f t="shared" si="25"/>
        <v>0.004951775074005127</v>
      </c>
      <c r="L46" s="15">
        <f t="shared" si="25"/>
        <v>0.0015683472156524658</v>
      </c>
      <c r="M46" s="15">
        <f t="shared" si="25"/>
        <v>0.002853378653526306</v>
      </c>
      <c r="N46" s="15">
        <f t="shared" si="25"/>
        <v>0.004862576723098755</v>
      </c>
      <c r="O46" s="15">
        <f t="shared" si="25"/>
        <v>-0.001477167010307312</v>
      </c>
      <c r="P46" s="15">
        <f t="shared" si="25"/>
        <v>-0.0035084784030914307</v>
      </c>
      <c r="Q46" s="15">
        <f t="shared" si="25"/>
        <v>-0.0022615045309066772</v>
      </c>
      <c r="R46" s="15">
        <f t="shared" si="25"/>
        <v>-0.004349008202552795</v>
      </c>
      <c r="S46" s="15">
        <f t="shared" si="25"/>
        <v>-0.002950906753540039</v>
      </c>
      <c r="T46" s="15">
        <f t="shared" si="25"/>
        <v>0.00478053092956543</v>
      </c>
      <c r="U46" s="15">
        <f t="shared" si="25"/>
        <v>0.0030336380004882812</v>
      </c>
      <c r="V46" s="15">
        <f t="shared" si="25"/>
        <v>-0.0012895166873931885</v>
      </c>
      <c r="W46" s="15">
        <f t="shared" si="25"/>
        <v>-0.003110140562057495</v>
      </c>
      <c r="X46" s="15">
        <f aca="true" t="shared" si="26" ref="X46:AE46">X17</f>
        <v>-0.0019402801990509033</v>
      </c>
      <c r="Y46" s="15">
        <f t="shared" si="26"/>
        <v>0.0018015801906585693</v>
      </c>
      <c r="Z46" s="15">
        <f t="shared" si="26"/>
        <v>-0.002759486436843872</v>
      </c>
      <c r="AA46" s="15">
        <f t="shared" si="26"/>
        <v>0.0019028186798095703</v>
      </c>
      <c r="AB46" s="15">
        <f t="shared" si="26"/>
        <v>0.0025218725204467773</v>
      </c>
      <c r="AC46" s="15">
        <f t="shared" si="26"/>
        <v>0.0035477280616760254</v>
      </c>
      <c r="AD46" s="15">
        <f t="shared" si="26"/>
        <v>0.004580795764923096</v>
      </c>
      <c r="AE46" s="17">
        <f t="shared" si="26"/>
        <v>-0.00037810206413269043</v>
      </c>
    </row>
    <row r="47" spans="1:31" s="36" customFormat="1" ht="12">
      <c r="A47" s="46" t="s">
        <v>5</v>
      </c>
      <c r="B47" s="38" t="s">
        <v>19</v>
      </c>
      <c r="C47" s="18">
        <v>74000000</v>
      </c>
      <c r="D47" s="15">
        <v>49495764</v>
      </c>
      <c r="E47" s="15">
        <f>E22-E50-E46</f>
        <v>46778466</v>
      </c>
      <c r="F47" s="15">
        <f>F22-F50-F46</f>
        <v>-0.0025362782180309296</v>
      </c>
      <c r="G47" s="15">
        <f aca="true" t="shared" si="27" ref="G47:N47">G22-G50-G46</f>
        <v>20000000.000547595</v>
      </c>
      <c r="H47" s="15">
        <f t="shared" si="27"/>
        <v>9999999.999008551</v>
      </c>
      <c r="I47" s="15">
        <f t="shared" si="27"/>
        <v>10000000.000348523</v>
      </c>
      <c r="J47" s="15">
        <f t="shared" si="27"/>
        <v>9999999.995048225</v>
      </c>
      <c r="K47" s="15">
        <f t="shared" si="27"/>
        <v>11999999.998431668</v>
      </c>
      <c r="L47" s="15">
        <f t="shared" si="27"/>
        <v>11999999.99714674</v>
      </c>
      <c r="M47" s="15">
        <f t="shared" si="27"/>
        <v>9999999.995137393</v>
      </c>
      <c r="N47" s="15">
        <f t="shared" si="27"/>
        <v>0.0014771372079849243</v>
      </c>
      <c r="O47" s="15">
        <f aca="true" t="shared" si="28" ref="O47:AE47">O22-O50-O46</f>
        <v>0.0035084187984466553</v>
      </c>
      <c r="P47" s="15">
        <f t="shared" si="28"/>
        <v>0.0022614747285842896</v>
      </c>
      <c r="Q47" s="15">
        <f t="shared" si="28"/>
        <v>0.004349023103713989</v>
      </c>
      <c r="R47" s="15">
        <f t="shared" si="28"/>
        <v>0.0029510855674743652</v>
      </c>
      <c r="S47" s="15">
        <f t="shared" si="28"/>
        <v>-0.004780607298016548</v>
      </c>
      <c r="T47" s="15">
        <f t="shared" si="28"/>
        <v>-0.0030337143689393997</v>
      </c>
      <c r="U47" s="15">
        <f t="shared" si="28"/>
        <v>0.001289529725909233</v>
      </c>
      <c r="V47" s="15">
        <f t="shared" si="28"/>
        <v>0.0031100809574127197</v>
      </c>
      <c r="W47" s="15">
        <f t="shared" si="28"/>
        <v>0.001940220594406128</v>
      </c>
      <c r="X47" s="15">
        <f t="shared" si="28"/>
        <v>-0.0018016993999481201</v>
      </c>
      <c r="Y47" s="15">
        <f t="shared" si="28"/>
        <v>0.0027593672275543213</v>
      </c>
      <c r="Z47" s="15">
        <f t="shared" si="28"/>
        <v>-0.0019027888774871826</v>
      </c>
      <c r="AA47" s="15">
        <f t="shared" si="28"/>
        <v>-0.0025217533111572266</v>
      </c>
      <c r="AB47" s="15">
        <f t="shared" si="28"/>
        <v>-0.0035477876663208008</v>
      </c>
      <c r="AC47" s="15">
        <f t="shared" si="28"/>
        <v>-0.004580795764923096</v>
      </c>
      <c r="AD47" s="15">
        <f t="shared" si="28"/>
        <v>0.00037807226181030273</v>
      </c>
      <c r="AE47" s="17">
        <f t="shared" si="28"/>
        <v>0.0024201571941375732</v>
      </c>
    </row>
    <row r="48" spans="1:31" s="36" customFormat="1" ht="15" customHeight="1">
      <c r="A48" s="46" t="s">
        <v>6</v>
      </c>
      <c r="B48" s="38" t="s">
        <v>20</v>
      </c>
      <c r="C48" s="18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7"/>
    </row>
    <row r="49" spans="1:31" s="36" customFormat="1" ht="12">
      <c r="A49" s="46" t="s">
        <v>7</v>
      </c>
      <c r="B49" s="38" t="s">
        <v>21</v>
      </c>
      <c r="C49" s="18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7"/>
    </row>
    <row r="50" spans="1:31" s="36" customFormat="1" ht="12">
      <c r="A50" s="46" t="s">
        <v>34</v>
      </c>
      <c r="B50" s="38" t="s">
        <v>35</v>
      </c>
      <c r="C50" s="18"/>
      <c r="D50" s="15"/>
      <c r="E50" s="15"/>
      <c r="F50" s="15">
        <f aca="true" t="shared" si="29" ref="F50:O50">F41</f>
        <v>29064516.132069588</v>
      </c>
      <c r="G50" s="15">
        <f t="shared" si="29"/>
        <v>20729032.256916046</v>
      </c>
      <c r="H50" s="15">
        <f t="shared" si="29"/>
        <v>26677144.881538987</v>
      </c>
      <c r="I50" s="15">
        <f t="shared" si="29"/>
        <v>32732621.418660045</v>
      </c>
      <c r="J50" s="15">
        <f t="shared" si="29"/>
        <v>34732621.42530036</v>
      </c>
      <c r="K50" s="15">
        <f t="shared" si="29"/>
        <v>34732621.41661656</v>
      </c>
      <c r="L50" s="15">
        <f t="shared" si="29"/>
        <v>37732621.421284914</v>
      </c>
      <c r="M50" s="15">
        <f t="shared" si="29"/>
        <v>40732621.42200923</v>
      </c>
      <c r="N50" s="15">
        <f t="shared" si="29"/>
        <v>35732621.41366029</v>
      </c>
      <c r="O50" s="15">
        <f t="shared" si="29"/>
        <v>24732621.41796875</v>
      </c>
      <c r="P50" s="15">
        <f aca="true" t="shared" si="30" ref="P50:AE50">P41</f>
        <v>19732621.421247005</v>
      </c>
      <c r="Q50" s="15">
        <f t="shared" si="30"/>
        <v>19732621.417912483</v>
      </c>
      <c r="R50" s="15">
        <f t="shared" si="30"/>
        <v>17732621.421397924</v>
      </c>
      <c r="S50" s="15">
        <f t="shared" si="30"/>
        <v>13732621.427731514</v>
      </c>
      <c r="T50" s="15">
        <f t="shared" si="30"/>
        <v>13732621.418253183</v>
      </c>
      <c r="U50" s="15">
        <f t="shared" si="30"/>
        <v>13511087.415676832</v>
      </c>
      <c r="V50" s="15">
        <f t="shared" si="30"/>
        <v>-0.0018205642700195312</v>
      </c>
      <c r="W50" s="15">
        <f t="shared" si="30"/>
        <v>0.0011699199676513672</v>
      </c>
      <c r="X50" s="15">
        <f t="shared" si="30"/>
        <v>0.0037419795989990234</v>
      </c>
      <c r="Y50" s="15">
        <f t="shared" si="30"/>
        <v>-0.004560947418212891</v>
      </c>
      <c r="Z50" s="15">
        <f t="shared" si="30"/>
        <v>0.004662275314331055</v>
      </c>
      <c r="AA50" s="15">
        <f t="shared" si="30"/>
        <v>0.0006189346313476562</v>
      </c>
      <c r="AB50" s="15">
        <f t="shared" si="30"/>
        <v>0.0010259151458740234</v>
      </c>
      <c r="AC50" s="15">
        <f t="shared" si="30"/>
        <v>0.0010330677032470703</v>
      </c>
      <c r="AD50" s="15">
        <f t="shared" si="30"/>
        <v>-0.0049588680267333984</v>
      </c>
      <c r="AE50" s="17">
        <f t="shared" si="30"/>
        <v>-0.002042055130004883</v>
      </c>
    </row>
    <row r="51" spans="1:11" ht="16.5">
      <c r="A51" s="48"/>
      <c r="B51" s="7"/>
      <c r="K51" s="3"/>
    </row>
    <row r="52" spans="1:2" ht="15">
      <c r="A52" s="48"/>
      <c r="B52" s="7"/>
    </row>
    <row r="53" spans="1:2" ht="15">
      <c r="A53" s="48"/>
      <c r="B53" s="24"/>
    </row>
    <row r="54" spans="1:4" ht="15">
      <c r="A54" s="48"/>
      <c r="B54" s="7"/>
      <c r="C54" s="8"/>
      <c r="D54" s="8"/>
    </row>
    <row r="55" spans="1:2" ht="15">
      <c r="A55" s="48"/>
      <c r="B55" s="7"/>
    </row>
    <row r="56" spans="1:2" ht="15">
      <c r="A56" s="48"/>
      <c r="B56" s="7"/>
    </row>
    <row r="57" spans="1:2" ht="15">
      <c r="A57" s="48"/>
      <c r="B57" s="7"/>
    </row>
    <row r="58" spans="1:2" ht="15">
      <c r="A58" s="48"/>
      <c r="B58" s="7"/>
    </row>
    <row r="59" spans="1:2" ht="15">
      <c r="A59" s="48"/>
      <c r="B59" s="7"/>
    </row>
    <row r="60" spans="1:2" ht="15">
      <c r="A60" s="48"/>
      <c r="B60" s="7"/>
    </row>
    <row r="61" spans="1:2" ht="15">
      <c r="A61" s="48"/>
      <c r="B61" s="7"/>
    </row>
    <row r="62" spans="1:2" ht="15">
      <c r="A62" s="48"/>
      <c r="B62" s="7"/>
    </row>
    <row r="63" spans="1:2" ht="15">
      <c r="A63" s="48"/>
      <c r="B63" s="7"/>
    </row>
    <row r="64" spans="1:2" ht="15">
      <c r="A64" s="48"/>
      <c r="B64" s="7"/>
    </row>
    <row r="65" spans="1:2" ht="15">
      <c r="A65" s="48"/>
      <c r="B65" s="7"/>
    </row>
    <row r="66" spans="1:2" ht="15">
      <c r="A66" s="48"/>
      <c r="B66" s="7"/>
    </row>
    <row r="67" spans="1:2" ht="15">
      <c r="A67" s="48"/>
      <c r="B67" s="7"/>
    </row>
    <row r="68" spans="1:2" ht="15">
      <c r="A68" s="48"/>
      <c r="B68" s="7"/>
    </row>
    <row r="69" spans="1:2" ht="15">
      <c r="A69" s="48"/>
      <c r="B69" s="7"/>
    </row>
    <row r="70" spans="1:2" ht="15">
      <c r="A70" s="48"/>
      <c r="B70" s="7"/>
    </row>
    <row r="71" spans="1:2" ht="15">
      <c r="A71" s="48"/>
      <c r="B71" s="7"/>
    </row>
    <row r="72" spans="1:2" ht="15">
      <c r="A72" s="48"/>
      <c r="B72" s="7"/>
    </row>
    <row r="73" spans="1:2" ht="15">
      <c r="A73" s="48"/>
      <c r="B73" s="7"/>
    </row>
    <row r="74" spans="1:2" ht="15">
      <c r="A74" s="48"/>
      <c r="B74" s="7"/>
    </row>
    <row r="75" spans="1:2" ht="15">
      <c r="A75" s="48"/>
      <c r="B75" s="7"/>
    </row>
    <row r="76" spans="1:2" ht="15">
      <c r="A76" s="48"/>
      <c r="B76" s="7"/>
    </row>
    <row r="77" spans="1:2" ht="15">
      <c r="A77" s="48"/>
      <c r="B77" s="7"/>
    </row>
    <row r="78" spans="1:2" ht="15">
      <c r="A78" s="48"/>
      <c r="B78" s="7"/>
    </row>
    <row r="79" spans="1:2" ht="15">
      <c r="A79" s="48"/>
      <c r="B79" s="7"/>
    </row>
    <row r="80" spans="1:2" ht="15">
      <c r="A80" s="48"/>
      <c r="B80" s="7"/>
    </row>
    <row r="81" spans="1:2" ht="15">
      <c r="A81" s="48"/>
      <c r="B81" s="7"/>
    </row>
    <row r="82" spans="1:2" ht="15">
      <c r="A82" s="48"/>
      <c r="B82" s="7"/>
    </row>
    <row r="83" spans="1:2" ht="15">
      <c r="A83" s="48"/>
      <c r="B83" s="7"/>
    </row>
    <row r="84" spans="1:2" ht="15">
      <c r="A84" s="48"/>
      <c r="B84" s="7"/>
    </row>
    <row r="85" spans="1:2" ht="15">
      <c r="A85" s="48"/>
      <c r="B85" s="7"/>
    </row>
    <row r="86" spans="1:2" ht="15">
      <c r="A86" s="48"/>
      <c r="B86" s="7"/>
    </row>
    <row r="87" spans="1:2" ht="15">
      <c r="A87" s="48"/>
      <c r="B87" s="7"/>
    </row>
    <row r="88" spans="1:2" ht="15">
      <c r="A88" s="48"/>
      <c r="B88" s="7"/>
    </row>
    <row r="89" spans="1:2" ht="15">
      <c r="A89" s="48"/>
      <c r="B89" s="7"/>
    </row>
    <row r="90" spans="1:2" ht="15">
      <c r="A90" s="48"/>
      <c r="B90" s="7"/>
    </row>
    <row r="91" spans="1:2" ht="15">
      <c r="A91" s="48"/>
      <c r="B91" s="7"/>
    </row>
    <row r="92" spans="1:2" ht="15">
      <c r="A92" s="48"/>
      <c r="B92" s="7"/>
    </row>
    <row r="93" spans="1:2" ht="15">
      <c r="A93" s="48"/>
      <c r="B93" s="7"/>
    </row>
    <row r="94" spans="1:2" ht="15">
      <c r="A94" s="48"/>
      <c r="B94" s="7"/>
    </row>
    <row r="95" spans="1:2" ht="15">
      <c r="A95" s="48"/>
      <c r="B95" s="7"/>
    </row>
    <row r="96" spans="1:2" ht="15">
      <c r="A96" s="48"/>
      <c r="B96" s="7"/>
    </row>
    <row r="97" spans="1:2" ht="15">
      <c r="A97" s="48"/>
      <c r="B97" s="7"/>
    </row>
    <row r="98" spans="1:2" ht="15">
      <c r="A98" s="48"/>
      <c r="B98" s="7"/>
    </row>
    <row r="99" spans="1:2" ht="15">
      <c r="A99" s="48"/>
      <c r="B99" s="7"/>
    </row>
    <row r="100" spans="1:2" ht="15">
      <c r="A100" s="48"/>
      <c r="B100" s="7"/>
    </row>
    <row r="101" spans="1:2" ht="15">
      <c r="A101" s="48"/>
      <c r="B101" s="7"/>
    </row>
    <row r="102" spans="1:2" ht="15">
      <c r="A102" s="48"/>
      <c r="B102" s="7"/>
    </row>
    <row r="103" spans="1:2" ht="15">
      <c r="A103" s="48"/>
      <c r="B103" s="7"/>
    </row>
    <row r="104" spans="1:2" ht="15">
      <c r="A104" s="48"/>
      <c r="B104" s="7"/>
    </row>
    <row r="105" spans="1:2" ht="15">
      <c r="A105" s="48"/>
      <c r="B105" s="7"/>
    </row>
    <row r="106" spans="1:2" ht="15">
      <c r="A106" s="48"/>
      <c r="B106" s="7"/>
    </row>
    <row r="107" spans="1:2" ht="15">
      <c r="A107" s="48"/>
      <c r="B107" s="7"/>
    </row>
    <row r="108" spans="1:2" ht="15">
      <c r="A108" s="48"/>
      <c r="B108" s="7"/>
    </row>
    <row r="109" spans="1:2" ht="15">
      <c r="A109" s="48"/>
      <c r="B109" s="7"/>
    </row>
    <row r="110" spans="1:2" ht="15">
      <c r="A110" s="48"/>
      <c r="B110" s="7"/>
    </row>
    <row r="111" spans="1:2" ht="15">
      <c r="A111" s="48"/>
      <c r="B111" s="7"/>
    </row>
    <row r="112" spans="1:2" ht="15">
      <c r="A112" s="48"/>
      <c r="B112" s="7"/>
    </row>
    <row r="113" spans="1:2" ht="15">
      <c r="A113" s="48"/>
      <c r="B113" s="7"/>
    </row>
    <row r="114" spans="1:2" ht="15">
      <c r="A114" s="48"/>
      <c r="B114" s="7"/>
    </row>
    <row r="115" spans="1:2" ht="15">
      <c r="A115" s="48"/>
      <c r="B115" s="7"/>
    </row>
    <row r="116" spans="1:2" ht="15">
      <c r="A116" s="48"/>
      <c r="B116" s="7"/>
    </row>
    <row r="117" spans="1:2" ht="15">
      <c r="A117" s="48"/>
      <c r="B117" s="7"/>
    </row>
    <row r="118" spans="1:2" ht="15">
      <c r="A118" s="48"/>
      <c r="B118" s="7"/>
    </row>
    <row r="119" spans="1:2" ht="15">
      <c r="A119" s="48"/>
      <c r="B119" s="7"/>
    </row>
    <row r="120" spans="1:2" ht="15">
      <c r="A120" s="48"/>
      <c r="B120" s="7"/>
    </row>
    <row r="121" spans="1:2" ht="15">
      <c r="A121" s="48"/>
      <c r="B121" s="7"/>
    </row>
    <row r="122" spans="1:2" ht="15">
      <c r="A122" s="48"/>
      <c r="B122" s="7"/>
    </row>
    <row r="123" spans="1:2" ht="15">
      <c r="A123" s="48"/>
      <c r="B123" s="7"/>
    </row>
    <row r="124" spans="1:2" ht="15">
      <c r="A124" s="48"/>
      <c r="B124" s="7"/>
    </row>
    <row r="125" spans="1:2" ht="15">
      <c r="A125" s="48"/>
      <c r="B125" s="7"/>
    </row>
    <row r="126" spans="1:2" ht="15">
      <c r="A126" s="48"/>
      <c r="B126" s="7"/>
    </row>
    <row r="127" spans="1:2" ht="15">
      <c r="A127" s="48"/>
      <c r="B127" s="7"/>
    </row>
    <row r="128" spans="1:2" ht="15">
      <c r="A128" s="48"/>
      <c r="B128" s="7"/>
    </row>
    <row r="129" spans="1:2" ht="15">
      <c r="A129" s="48"/>
      <c r="B129" s="7"/>
    </row>
    <row r="130" spans="1:2" ht="15">
      <c r="A130" s="48"/>
      <c r="B130" s="7"/>
    </row>
    <row r="131" spans="1:2" ht="15">
      <c r="A131" s="48"/>
      <c r="B131" s="7"/>
    </row>
    <row r="132" spans="1:2" ht="15">
      <c r="A132" s="48"/>
      <c r="B132" s="7"/>
    </row>
    <row r="133" spans="1:2" ht="15">
      <c r="A133" s="48"/>
      <c r="B133" s="7"/>
    </row>
    <row r="134" spans="1:2" ht="15">
      <c r="A134" s="48"/>
      <c r="B134" s="7"/>
    </row>
    <row r="135" spans="1:2" ht="15">
      <c r="A135" s="48"/>
      <c r="B135" s="7"/>
    </row>
    <row r="136" spans="1:2" ht="15">
      <c r="A136" s="48"/>
      <c r="B136" s="7"/>
    </row>
    <row r="137" spans="1:2" ht="15">
      <c r="A137" s="48"/>
      <c r="B137" s="7"/>
    </row>
    <row r="138" spans="1:2" ht="15">
      <c r="A138" s="48"/>
      <c r="B138" s="7"/>
    </row>
    <row r="139" spans="1:2" ht="15">
      <c r="A139" s="48"/>
      <c r="B139" s="7"/>
    </row>
    <row r="140" spans="1:2" ht="15">
      <c r="A140" s="48"/>
      <c r="B140" s="7"/>
    </row>
    <row r="141" spans="1:2" ht="15">
      <c r="A141" s="48"/>
      <c r="B141" s="7"/>
    </row>
    <row r="142" spans="1:2" ht="15">
      <c r="A142" s="48"/>
      <c r="B142" s="7"/>
    </row>
    <row r="143" spans="1:2" ht="15">
      <c r="A143" s="48"/>
      <c r="B143" s="7"/>
    </row>
    <row r="144" spans="1:2" ht="15">
      <c r="A144" s="48"/>
      <c r="B144" s="7"/>
    </row>
    <row r="145" spans="1:2" ht="15">
      <c r="A145" s="48"/>
      <c r="B145" s="7"/>
    </row>
    <row r="146" spans="1:2" ht="15">
      <c r="A146" s="48"/>
      <c r="B146" s="7"/>
    </row>
    <row r="147" spans="1:2" ht="15">
      <c r="A147" s="48"/>
      <c r="B147" s="7"/>
    </row>
    <row r="148" spans="1:2" ht="15">
      <c r="A148" s="48"/>
      <c r="B148" s="7"/>
    </row>
    <row r="149" spans="1:2" ht="15">
      <c r="A149" s="48"/>
      <c r="B149" s="7"/>
    </row>
    <row r="150" spans="1:2" ht="15">
      <c r="A150" s="48"/>
      <c r="B150" s="7"/>
    </row>
    <row r="151" spans="1:2" ht="15">
      <c r="A151" s="48"/>
      <c r="B151" s="7"/>
    </row>
    <row r="152" spans="1:2" ht="15">
      <c r="A152" s="48"/>
      <c r="B152" s="7"/>
    </row>
    <row r="153" spans="1:2" ht="15">
      <c r="A153" s="48"/>
      <c r="B153" s="7"/>
    </row>
    <row r="154" spans="1:2" ht="15">
      <c r="A154" s="48"/>
      <c r="B154" s="7"/>
    </row>
    <row r="155" spans="1:2" ht="15">
      <c r="A155" s="48"/>
      <c r="B155" s="7"/>
    </row>
    <row r="156" spans="1:2" ht="15">
      <c r="A156" s="48"/>
      <c r="B156" s="7"/>
    </row>
    <row r="157" spans="1:2" ht="15">
      <c r="A157" s="48"/>
      <c r="B157" s="7"/>
    </row>
    <row r="158" spans="1:2" ht="15">
      <c r="A158" s="48"/>
      <c r="B158" s="7"/>
    </row>
    <row r="159" spans="1:2" ht="15">
      <c r="A159" s="48"/>
      <c r="B159" s="7"/>
    </row>
    <row r="160" spans="1:2" ht="15">
      <c r="A160" s="48"/>
      <c r="B160" s="7"/>
    </row>
    <row r="161" spans="1:2" ht="15">
      <c r="A161" s="48"/>
      <c r="B161" s="7"/>
    </row>
    <row r="162" spans="1:2" ht="15">
      <c r="A162" s="48"/>
      <c r="B162" s="7"/>
    </row>
    <row r="163" spans="1:2" ht="15">
      <c r="A163" s="48"/>
      <c r="B163" s="7"/>
    </row>
    <row r="164" spans="1:2" ht="15">
      <c r="A164" s="48"/>
      <c r="B164" s="7"/>
    </row>
    <row r="165" spans="1:2" ht="15">
      <c r="A165" s="48"/>
      <c r="B165" s="7"/>
    </row>
    <row r="166" spans="1:2" ht="15">
      <c r="A166" s="48"/>
      <c r="B166" s="7"/>
    </row>
    <row r="167" spans="1:2" ht="15">
      <c r="A167" s="48"/>
      <c r="B167" s="7"/>
    </row>
    <row r="168" spans="1:2" ht="15">
      <c r="A168" s="48"/>
      <c r="B168" s="7"/>
    </row>
    <row r="169" spans="1:2" ht="15">
      <c r="A169" s="48"/>
      <c r="B169" s="7"/>
    </row>
    <row r="170" spans="1:2" ht="15">
      <c r="A170" s="48"/>
      <c r="B170" s="7"/>
    </row>
    <row r="171" spans="1:2" ht="15">
      <c r="A171" s="48"/>
      <c r="B171" s="7"/>
    </row>
    <row r="172" spans="1:2" ht="15">
      <c r="A172" s="48"/>
      <c r="B172" s="7"/>
    </row>
    <row r="173" spans="1:2" ht="15">
      <c r="A173" s="48"/>
      <c r="B173" s="7"/>
    </row>
    <row r="174" spans="1:2" ht="15">
      <c r="A174" s="48"/>
      <c r="B174" s="7"/>
    </row>
    <row r="175" spans="1:2" ht="15">
      <c r="A175" s="48"/>
      <c r="B175" s="7"/>
    </row>
    <row r="176" spans="1:2" ht="15">
      <c r="A176" s="48"/>
      <c r="B176" s="7"/>
    </row>
    <row r="177" spans="1:2" ht="15">
      <c r="A177" s="48"/>
      <c r="B177" s="7"/>
    </row>
    <row r="178" spans="1:2" ht="15">
      <c r="A178" s="48"/>
      <c r="B178" s="7"/>
    </row>
    <row r="179" spans="1:2" ht="15">
      <c r="A179" s="48"/>
      <c r="B179" s="7"/>
    </row>
    <row r="180" spans="1:2" ht="15">
      <c r="A180" s="48"/>
      <c r="B180" s="7"/>
    </row>
    <row r="181" spans="1:2" ht="15">
      <c r="A181" s="48"/>
      <c r="B181" s="7"/>
    </row>
    <row r="182" spans="1:2" ht="15">
      <c r="A182" s="48"/>
      <c r="B182" s="7"/>
    </row>
    <row r="183" spans="1:2" ht="15">
      <c r="A183" s="48"/>
      <c r="B183" s="7"/>
    </row>
    <row r="184" spans="1:2" ht="15">
      <c r="A184" s="48"/>
      <c r="B184" s="7"/>
    </row>
    <row r="185" spans="1:2" ht="15">
      <c r="A185" s="48"/>
      <c r="B185" s="7"/>
    </row>
    <row r="186" spans="1:2" ht="15">
      <c r="A186" s="48"/>
      <c r="B186" s="7"/>
    </row>
    <row r="187" spans="1:2" ht="15">
      <c r="A187" s="48"/>
      <c r="B187" s="7"/>
    </row>
    <row r="188" spans="1:2" ht="15">
      <c r="A188" s="48"/>
      <c r="B188" s="7"/>
    </row>
    <row r="189" spans="1:2" ht="15">
      <c r="A189" s="48"/>
      <c r="B189" s="7"/>
    </row>
    <row r="190" spans="1:2" ht="15">
      <c r="A190" s="48"/>
      <c r="B190" s="7"/>
    </row>
    <row r="191" spans="1:2" ht="15">
      <c r="A191" s="48"/>
      <c r="B191" s="7"/>
    </row>
    <row r="192" spans="1:2" ht="15">
      <c r="A192" s="48"/>
      <c r="B192" s="7"/>
    </row>
    <row r="193" spans="1:2" ht="15">
      <c r="A193" s="48"/>
      <c r="B193" s="7"/>
    </row>
    <row r="194" spans="1:2" ht="15">
      <c r="A194" s="48"/>
      <c r="B194" s="7"/>
    </row>
    <row r="195" spans="1:2" ht="15">
      <c r="A195" s="48"/>
      <c r="B195" s="7"/>
    </row>
    <row r="196" spans="1:2" ht="15">
      <c r="A196" s="48"/>
      <c r="B196" s="7"/>
    </row>
    <row r="197" spans="1:2" ht="15">
      <c r="A197" s="48"/>
      <c r="B197" s="7"/>
    </row>
    <row r="198" spans="1:2" ht="15">
      <c r="A198" s="48"/>
      <c r="B198" s="7"/>
    </row>
    <row r="199" spans="1:2" ht="15">
      <c r="A199" s="48"/>
      <c r="B199" s="7"/>
    </row>
    <row r="200" spans="1:2" ht="15">
      <c r="A200" s="48"/>
      <c r="B200" s="7"/>
    </row>
    <row r="201" spans="1:2" ht="15">
      <c r="A201" s="48"/>
      <c r="B201" s="7"/>
    </row>
    <row r="202" spans="1:2" ht="15">
      <c r="A202" s="48"/>
      <c r="B202" s="7"/>
    </row>
    <row r="203" spans="1:2" ht="15">
      <c r="A203" s="48"/>
      <c r="B203" s="7"/>
    </row>
    <row r="204" spans="1:2" ht="15">
      <c r="A204" s="48"/>
      <c r="B204" s="7"/>
    </row>
    <row r="205" spans="1:2" ht="15">
      <c r="A205" s="48"/>
      <c r="B205" s="7"/>
    </row>
    <row r="206" spans="1:2" ht="15">
      <c r="A206" s="48"/>
      <c r="B206" s="7"/>
    </row>
    <row r="207" spans="1:2" ht="15">
      <c r="A207" s="48"/>
      <c r="B207" s="7"/>
    </row>
    <row r="208" spans="1:2" ht="15">
      <c r="A208" s="48"/>
      <c r="B208" s="7"/>
    </row>
    <row r="209" spans="1:2" ht="15">
      <c r="A209" s="48"/>
      <c r="B209" s="7"/>
    </row>
    <row r="210" spans="1:2" ht="15">
      <c r="A210" s="48"/>
      <c r="B210" s="7"/>
    </row>
    <row r="211" spans="1:2" ht="15">
      <c r="A211" s="48"/>
      <c r="B211" s="7"/>
    </row>
    <row r="212" spans="1:2" ht="15">
      <c r="A212" s="48"/>
      <c r="B212" s="7"/>
    </row>
    <row r="213" spans="1:2" ht="15">
      <c r="A213" s="48"/>
      <c r="B213" s="7"/>
    </row>
    <row r="214" spans="1:2" ht="15">
      <c r="A214" s="48"/>
      <c r="B214" s="7"/>
    </row>
    <row r="215" spans="1:2" ht="15">
      <c r="A215" s="48"/>
      <c r="B215" s="7"/>
    </row>
    <row r="216" spans="1:2" ht="15">
      <c r="A216" s="48"/>
      <c r="B216" s="7"/>
    </row>
    <row r="217" spans="1:2" ht="15">
      <c r="A217" s="48"/>
      <c r="B217" s="7"/>
    </row>
    <row r="218" spans="1:2" ht="15">
      <c r="A218" s="48"/>
      <c r="B218" s="7"/>
    </row>
    <row r="219" spans="1:2" ht="15">
      <c r="A219" s="48"/>
      <c r="B219" s="7"/>
    </row>
    <row r="220" spans="1:2" ht="15">
      <c r="A220" s="48"/>
      <c r="B220" s="7"/>
    </row>
    <row r="221" spans="1:2" ht="15">
      <c r="A221" s="48"/>
      <c r="B221" s="7"/>
    </row>
    <row r="222" spans="1:2" ht="15">
      <c r="A222" s="48"/>
      <c r="B222" s="7"/>
    </row>
    <row r="223" spans="1:2" ht="15">
      <c r="A223" s="48"/>
      <c r="B223" s="7"/>
    </row>
    <row r="224" spans="1:2" ht="15">
      <c r="A224" s="48"/>
      <c r="B224" s="7"/>
    </row>
    <row r="225" spans="1:2" ht="15">
      <c r="A225" s="48"/>
      <c r="B225" s="7"/>
    </row>
    <row r="226" spans="1:2" ht="15">
      <c r="A226" s="48"/>
      <c r="B226" s="7"/>
    </row>
    <row r="227" spans="1:2" ht="15">
      <c r="A227" s="48"/>
      <c r="B227" s="7"/>
    </row>
    <row r="228" spans="1:2" ht="15">
      <c r="A228" s="48"/>
      <c r="B228" s="7"/>
    </row>
    <row r="229" spans="1:2" ht="15">
      <c r="A229" s="48"/>
      <c r="B229" s="7"/>
    </row>
    <row r="230" spans="1:2" ht="15">
      <c r="A230" s="48"/>
      <c r="B230" s="7"/>
    </row>
    <row r="231" spans="1:2" ht="15">
      <c r="A231" s="48"/>
      <c r="B231" s="7"/>
    </row>
    <row r="232" spans="1:2" ht="15">
      <c r="A232" s="48"/>
      <c r="B232" s="7"/>
    </row>
    <row r="233" spans="1:2" ht="15">
      <c r="A233" s="48"/>
      <c r="B233" s="7"/>
    </row>
    <row r="234" spans="1:2" ht="15">
      <c r="A234" s="48"/>
      <c r="B234" s="7"/>
    </row>
    <row r="235" spans="1:2" ht="15">
      <c r="A235" s="48"/>
      <c r="B235" s="7"/>
    </row>
    <row r="236" spans="1:2" ht="15">
      <c r="A236" s="48"/>
      <c r="B236" s="7"/>
    </row>
    <row r="237" spans="1:2" ht="15">
      <c r="A237" s="48"/>
      <c r="B237" s="7"/>
    </row>
    <row r="238" spans="1:2" ht="15">
      <c r="A238" s="48"/>
      <c r="B238" s="7"/>
    </row>
    <row r="239" spans="1:2" ht="15">
      <c r="A239" s="48"/>
      <c r="B239" s="7"/>
    </row>
    <row r="240" spans="1:2" ht="15">
      <c r="A240" s="48"/>
      <c r="B240" s="7"/>
    </row>
    <row r="241" spans="1:2" ht="15">
      <c r="A241" s="48"/>
      <c r="B241" s="7"/>
    </row>
    <row r="242" spans="1:2" ht="15">
      <c r="A242" s="48"/>
      <c r="B242" s="7"/>
    </row>
    <row r="243" spans="1:2" ht="15">
      <c r="A243" s="48"/>
      <c r="B243" s="7"/>
    </row>
    <row r="244" spans="1:2" ht="15">
      <c r="A244" s="48"/>
      <c r="B244" s="7"/>
    </row>
    <row r="245" spans="1:2" ht="15">
      <c r="A245" s="48"/>
      <c r="B245" s="7"/>
    </row>
    <row r="246" spans="1:2" ht="15">
      <c r="A246" s="48"/>
      <c r="B246" s="7"/>
    </row>
    <row r="247" spans="1:2" ht="15">
      <c r="A247" s="48"/>
      <c r="B247" s="7"/>
    </row>
    <row r="248" spans="1:2" ht="15">
      <c r="A248" s="48"/>
      <c r="B248" s="7"/>
    </row>
    <row r="249" spans="1:2" ht="15">
      <c r="A249" s="48"/>
      <c r="B249" s="7"/>
    </row>
    <row r="250" spans="1:2" ht="15">
      <c r="A250" s="48"/>
      <c r="B250" s="7"/>
    </row>
    <row r="251" spans="1:2" ht="15">
      <c r="A251" s="48"/>
      <c r="B251" s="7"/>
    </row>
    <row r="252" spans="1:2" ht="15">
      <c r="A252" s="48"/>
      <c r="B252" s="7"/>
    </row>
    <row r="253" spans="1:2" ht="15">
      <c r="A253" s="48"/>
      <c r="B253" s="7"/>
    </row>
    <row r="254" spans="1:2" ht="15">
      <c r="A254" s="48"/>
      <c r="B254" s="7"/>
    </row>
    <row r="255" spans="1:2" ht="15">
      <c r="A255" s="48"/>
      <c r="B255" s="7"/>
    </row>
    <row r="256" spans="1:2" ht="15">
      <c r="A256" s="48"/>
      <c r="B256" s="7"/>
    </row>
    <row r="257" spans="1:2" ht="15">
      <c r="A257" s="48"/>
      <c r="B257" s="7"/>
    </row>
    <row r="258" spans="1:2" ht="15">
      <c r="A258" s="48"/>
      <c r="B258" s="7"/>
    </row>
  </sheetData>
  <sheetProtection/>
  <printOptions/>
  <pageMargins left="0.1968503937007874" right="0.1968503937007874" top="0.2755905511811024" bottom="0.33" header="0.15748031496062992" footer="0.35433070866141736"/>
  <pageSetup firstPageNumber="2" useFirstPageNumber="1" fitToWidth="3" horizontalDpi="600" verticalDpi="600" orientation="landscape" paperSize="9" scale="6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2011-12-09T09:02:12Z</cp:lastPrinted>
  <dcterms:created xsi:type="dcterms:W3CDTF">2010-09-24T07:39:40Z</dcterms:created>
  <dcterms:modified xsi:type="dcterms:W3CDTF">2011-12-09T09:39:37Z</dcterms:modified>
  <cp:category/>
  <cp:version/>
  <cp:contentType/>
  <cp:contentStatus/>
</cp:coreProperties>
</file>